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stitutional Support\IFRO Folder\Bi-Weekly Newsletter\SR Grant Calendar\"/>
    </mc:Choice>
  </mc:AlternateContent>
  <bookViews>
    <workbookView xWindow="0" yWindow="0" windowWidth="16305" windowHeight="8655"/>
  </bookViews>
  <sheets>
    <sheet name="2017" sheetId="1" r:id="rId1"/>
  </sheets>
  <calcPr calcId="152511"/>
</workbook>
</file>

<file path=xl/calcChain.xml><?xml version="1.0" encoding="utf-8"?>
<calcChain xmlns="http://schemas.openxmlformats.org/spreadsheetml/2006/main">
  <c r="C512" i="1" l="1"/>
  <c r="B512" i="1"/>
  <c r="B511" i="1"/>
  <c r="C510" i="1"/>
  <c r="B510" i="1"/>
  <c r="C509" i="1"/>
  <c r="B509" i="1"/>
  <c r="C508" i="1"/>
  <c r="B508" i="1"/>
  <c r="C507" i="1"/>
  <c r="B507" i="1"/>
  <c r="C506" i="1"/>
  <c r="B506" i="1"/>
  <c r="C504" i="1"/>
  <c r="B504" i="1"/>
  <c r="C500" i="1"/>
  <c r="B500" i="1"/>
  <c r="C499" i="1"/>
  <c r="B499" i="1"/>
  <c r="C496" i="1"/>
  <c r="B492" i="1"/>
  <c r="C489" i="1"/>
  <c r="B489" i="1"/>
  <c r="C488" i="1"/>
  <c r="B488" i="1"/>
  <c r="C486" i="1"/>
  <c r="B486" i="1"/>
  <c r="C485" i="1"/>
  <c r="B485" i="1"/>
  <c r="C484" i="1"/>
  <c r="B484" i="1"/>
  <c r="C480" i="1"/>
  <c r="B480" i="1"/>
  <c r="C479" i="1"/>
  <c r="B479" i="1"/>
  <c r="C477" i="1"/>
  <c r="B477" i="1"/>
  <c r="B476" i="1"/>
  <c r="B473" i="1"/>
  <c r="C472" i="1"/>
  <c r="B472" i="1"/>
  <c r="C470" i="1"/>
  <c r="B470" i="1"/>
  <c r="B469" i="1"/>
  <c r="B468" i="1"/>
  <c r="C464" i="1"/>
  <c r="C458" i="1"/>
  <c r="B458" i="1"/>
  <c r="C457" i="1"/>
  <c r="B457" i="1"/>
  <c r="C455" i="1"/>
  <c r="B455" i="1"/>
  <c r="C453" i="1"/>
  <c r="B453" i="1"/>
  <c r="B452" i="1"/>
  <c r="C451" i="1"/>
  <c r="B451" i="1"/>
  <c r="C450" i="1"/>
  <c r="B450" i="1"/>
  <c r="C449" i="1"/>
  <c r="C444" i="1"/>
  <c r="B444" i="1"/>
  <c r="C443" i="1"/>
  <c r="B443" i="1"/>
  <c r="C442" i="1"/>
  <c r="C441" i="1"/>
  <c r="B441" i="1"/>
  <c r="C440" i="1"/>
  <c r="B440" i="1"/>
  <c r="C439" i="1"/>
  <c r="B439" i="1"/>
  <c r="C436" i="1"/>
  <c r="C435" i="1"/>
  <c r="B435" i="1"/>
  <c r="C429" i="1"/>
  <c r="B429" i="1"/>
  <c r="C428" i="1"/>
  <c r="B428" i="1"/>
  <c r="C427" i="1"/>
  <c r="B427" i="1"/>
  <c r="C425" i="1"/>
  <c r="B425" i="1"/>
  <c r="C424" i="1"/>
  <c r="B424" i="1"/>
  <c r="C423" i="1"/>
  <c r="B423" i="1"/>
  <c r="C422" i="1"/>
  <c r="C421" i="1"/>
  <c r="B421" i="1"/>
  <c r="C418" i="1"/>
  <c r="B418" i="1"/>
  <c r="C416" i="1"/>
  <c r="B416" i="1"/>
  <c r="C415" i="1"/>
  <c r="C413" i="1"/>
  <c r="B413" i="1"/>
  <c r="C411" i="1"/>
  <c r="B411" i="1"/>
  <c r="C410" i="1"/>
  <c r="B410" i="1"/>
  <c r="C409" i="1"/>
  <c r="B407" i="1"/>
  <c r="C406" i="1"/>
  <c r="B406" i="1"/>
  <c r="C397" i="1"/>
  <c r="B397" i="1"/>
  <c r="C391" i="1"/>
  <c r="B391" i="1"/>
  <c r="C390" i="1"/>
  <c r="B390" i="1"/>
  <c r="B389" i="1"/>
  <c r="C388" i="1"/>
  <c r="B388" i="1"/>
  <c r="B381" i="1"/>
  <c r="B367" i="1"/>
  <c r="C364" i="1"/>
  <c r="C363" i="1"/>
  <c r="C361" i="1"/>
  <c r="B361" i="1"/>
  <c r="B349" i="1"/>
  <c r="C342" i="1"/>
  <c r="B341" i="1"/>
  <c r="C339" i="1"/>
  <c r="C334" i="1"/>
  <c r="B332" i="1"/>
  <c r="C331" i="1"/>
  <c r="C329" i="1"/>
  <c r="B329" i="1"/>
  <c r="B327" i="1"/>
  <c r="B326" i="1"/>
  <c r="B325" i="1"/>
  <c r="B323" i="1"/>
  <c r="C322" i="1"/>
  <c r="B322" i="1"/>
  <c r="B321" i="1"/>
  <c r="C318" i="1"/>
  <c r="B318" i="1"/>
  <c r="C316" i="1"/>
  <c r="C315" i="1"/>
  <c r="B314" i="1"/>
  <c r="B313" i="1"/>
  <c r="B311" i="1"/>
  <c r="B310" i="1"/>
  <c r="C309" i="1"/>
  <c r="B309" i="1"/>
  <c r="B307" i="1"/>
  <c r="C305" i="1"/>
  <c r="B305" i="1"/>
  <c r="B304" i="1"/>
  <c r="C301" i="1"/>
  <c r="B301" i="1"/>
  <c r="C300" i="1"/>
  <c r="B297" i="1"/>
  <c r="C295" i="1"/>
  <c r="B295" i="1"/>
  <c r="B294" i="1"/>
  <c r="C293" i="1"/>
  <c r="B293" i="1"/>
  <c r="B291" i="1"/>
  <c r="C289" i="1"/>
  <c r="C286" i="1"/>
  <c r="B286" i="1"/>
  <c r="C282" i="1"/>
  <c r="B282" i="1"/>
  <c r="B277" i="1"/>
  <c r="C274" i="1"/>
  <c r="C273" i="1"/>
  <c r="B273" i="1"/>
  <c r="B272" i="1"/>
  <c r="C271" i="1"/>
  <c r="B271" i="1"/>
  <c r="C269" i="1"/>
  <c r="C267" i="1"/>
  <c r="C263" i="1"/>
  <c r="B263" i="1"/>
  <c r="B260" i="1"/>
  <c r="C253" i="1"/>
  <c r="B253" i="1"/>
  <c r="B252" i="1"/>
  <c r="C251" i="1"/>
  <c r="B250" i="1"/>
  <c r="C247" i="1"/>
  <c r="B247" i="1"/>
  <c r="C246" i="1"/>
  <c r="B246" i="1"/>
  <c r="C245" i="1"/>
  <c r="B245" i="1"/>
  <c r="B244" i="1"/>
  <c r="C242" i="1"/>
  <c r="C241" i="1"/>
  <c r="B241" i="1"/>
  <c r="C238" i="1"/>
  <c r="C237" i="1"/>
  <c r="B237" i="1"/>
  <c r="C236" i="1"/>
  <c r="B236" i="1"/>
  <c r="B234" i="1"/>
  <c r="B232" i="1"/>
  <c r="C231" i="1"/>
  <c r="B231" i="1"/>
  <c r="C229" i="1"/>
  <c r="C228" i="1"/>
  <c r="B228" i="1"/>
  <c r="C226" i="1"/>
  <c r="B226" i="1"/>
  <c r="C225" i="1"/>
  <c r="B224" i="1"/>
  <c r="B223" i="1"/>
  <c r="C222" i="1"/>
  <c r="B222" i="1"/>
  <c r="C219" i="1"/>
  <c r="C217" i="1"/>
  <c r="B217" i="1"/>
  <c r="B216" i="1"/>
  <c r="B215" i="1"/>
  <c r="C211" i="1"/>
  <c r="B211" i="1"/>
  <c r="C210" i="1"/>
  <c r="B210" i="1"/>
  <c r="B208" i="1"/>
  <c r="C205" i="1"/>
  <c r="B205" i="1"/>
  <c r="C204" i="1"/>
  <c r="B204" i="1"/>
  <c r="C203" i="1"/>
  <c r="B203" i="1"/>
  <c r="B201" i="1"/>
  <c r="C200" i="1"/>
  <c r="B200" i="1"/>
  <c r="C198" i="1"/>
  <c r="B198" i="1"/>
  <c r="C197" i="1"/>
  <c r="B197" i="1"/>
  <c r="C196" i="1"/>
  <c r="C195" i="1"/>
  <c r="B193" i="1"/>
  <c r="C192" i="1"/>
  <c r="C190" i="1"/>
  <c r="B190" i="1"/>
  <c r="B189" i="1"/>
  <c r="C188" i="1"/>
  <c r="C187" i="1"/>
  <c r="B187" i="1"/>
  <c r="C186" i="1"/>
  <c r="B186" i="1"/>
  <c r="C185" i="1"/>
  <c r="B185" i="1"/>
  <c r="C184" i="1"/>
  <c r="C183" i="1"/>
  <c r="C182" i="1"/>
  <c r="C181" i="1"/>
  <c r="B181" i="1"/>
  <c r="C180" i="1"/>
  <c r="B178" i="1"/>
  <c r="B177" i="1"/>
  <c r="C176" i="1"/>
  <c r="C175" i="1"/>
  <c r="C173" i="1"/>
  <c r="B173" i="1"/>
  <c r="C171" i="1"/>
  <c r="B171" i="1"/>
  <c r="C170" i="1"/>
  <c r="B170" i="1"/>
  <c r="C168" i="1"/>
  <c r="B168" i="1"/>
  <c r="B167" i="1"/>
  <c r="C166" i="1"/>
  <c r="B166" i="1"/>
  <c r="C165" i="1"/>
  <c r="B164" i="1"/>
  <c r="C163" i="1"/>
  <c r="B163" i="1"/>
  <c r="C162" i="1"/>
  <c r="B162" i="1"/>
  <c r="C161" i="1"/>
  <c r="B161" i="1"/>
  <c r="B160" i="1"/>
  <c r="B159" i="1"/>
  <c r="B158" i="1"/>
  <c r="B157" i="1"/>
  <c r="B155" i="1"/>
  <c r="B154" i="1"/>
  <c r="C153" i="1"/>
  <c r="C152" i="1"/>
  <c r="B152" i="1"/>
  <c r="B150" i="1"/>
  <c r="B149" i="1"/>
  <c r="C148" i="1"/>
  <c r="B148" i="1"/>
  <c r="C147" i="1"/>
  <c r="B147" i="1"/>
  <c r="B146" i="1"/>
  <c r="C145" i="1"/>
  <c r="C144" i="1"/>
  <c r="B144" i="1"/>
  <c r="B143" i="1"/>
  <c r="B142" i="1"/>
  <c r="C141" i="1"/>
  <c r="C140" i="1"/>
  <c r="B139" i="1"/>
  <c r="B137" i="1"/>
  <c r="C134" i="1"/>
  <c r="B134" i="1"/>
  <c r="C131" i="1"/>
  <c r="B131" i="1"/>
  <c r="C130" i="1"/>
  <c r="B130" i="1"/>
  <c r="C129" i="1"/>
  <c r="B129" i="1"/>
  <c r="C128" i="1"/>
  <c r="B128" i="1"/>
  <c r="C127" i="1"/>
  <c r="B127" i="1"/>
  <c r="C126" i="1"/>
  <c r="C123" i="1"/>
  <c r="C122" i="1"/>
  <c r="B122" i="1"/>
  <c r="B119" i="1"/>
  <c r="C118" i="1"/>
  <c r="C117" i="1"/>
  <c r="B116" i="1"/>
  <c r="C114" i="1"/>
  <c r="C113" i="1"/>
  <c r="B113" i="1"/>
  <c r="B111" i="1"/>
  <c r="C110" i="1"/>
  <c r="B110" i="1"/>
  <c r="B109" i="1"/>
  <c r="C107" i="1"/>
  <c r="B107" i="1"/>
  <c r="C106" i="1"/>
  <c r="B106" i="1"/>
  <c r="C103" i="1"/>
  <c r="B103" i="1"/>
  <c r="C102" i="1"/>
  <c r="B102" i="1"/>
  <c r="B101" i="1"/>
  <c r="C100" i="1"/>
  <c r="C99" i="1"/>
  <c r="B99" i="1"/>
  <c r="C98" i="1"/>
  <c r="B98" i="1"/>
  <c r="C96" i="1"/>
  <c r="B95" i="1"/>
  <c r="C93" i="1"/>
  <c r="B89" i="1"/>
  <c r="B88" i="1"/>
  <c r="B85" i="1"/>
  <c r="C84" i="1"/>
  <c r="B84" i="1"/>
  <c r="B81" i="1"/>
  <c r="C79" i="1"/>
  <c r="B79" i="1"/>
  <c r="C77" i="1"/>
  <c r="B77" i="1"/>
  <c r="C76" i="1"/>
  <c r="B76" i="1"/>
  <c r="C71" i="1"/>
  <c r="B71" i="1"/>
  <c r="C70" i="1"/>
  <c r="B70" i="1"/>
  <c r="C63" i="1"/>
  <c r="B63" i="1"/>
  <c r="C57" i="1"/>
  <c r="C54" i="1"/>
  <c r="B51" i="1"/>
  <c r="C50" i="1"/>
  <c r="C49" i="1"/>
  <c r="B49" i="1"/>
  <c r="C47" i="1"/>
  <c r="B47" i="1"/>
  <c r="C46" i="1"/>
  <c r="B46" i="1"/>
  <c r="C45" i="1"/>
  <c r="B45" i="1"/>
  <c r="C41" i="1"/>
  <c r="B41" i="1"/>
  <c r="C40" i="1"/>
  <c r="C38" i="1"/>
  <c r="C36" i="1"/>
  <c r="B33" i="1"/>
  <c r="B32" i="1"/>
  <c r="C31" i="1"/>
  <c r="C30" i="1"/>
  <c r="B30" i="1"/>
  <c r="C29" i="1"/>
  <c r="B29" i="1"/>
  <c r="C28" i="1"/>
  <c r="B28" i="1"/>
  <c r="C27" i="1"/>
  <c r="B27" i="1"/>
  <c r="B26" i="1"/>
  <c r="C25" i="1"/>
  <c r="B25" i="1"/>
  <c r="C24" i="1"/>
  <c r="B24" i="1"/>
  <c r="C22" i="1"/>
  <c r="B22" i="1"/>
  <c r="C21" i="1"/>
  <c r="B21" i="1"/>
  <c r="C20" i="1"/>
  <c r="B20" i="1"/>
  <c r="C18" i="1"/>
  <c r="C17" i="1"/>
  <c r="C15" i="1"/>
  <c r="C14" i="1"/>
  <c r="C13" i="1"/>
  <c r="C12" i="1"/>
  <c r="C9" i="1"/>
  <c r="B9" i="1"/>
  <c r="C8" i="1"/>
  <c r="B8" i="1"/>
  <c r="C6" i="1"/>
  <c r="C5" i="1"/>
  <c r="B5" i="1"/>
  <c r="B4" i="1"/>
</calcChain>
</file>

<file path=xl/sharedStrings.xml><?xml version="1.0" encoding="utf-8"?>
<sst xmlns="http://schemas.openxmlformats.org/spreadsheetml/2006/main" count="2527" uniqueCount="1292">
  <si>
    <t>Date</t>
  </si>
  <si>
    <t>Sponsor</t>
  </si>
  <si>
    <t xml:space="preserve">Program </t>
  </si>
  <si>
    <t>Category</t>
  </si>
  <si>
    <t>Type</t>
  </si>
  <si>
    <t>Stage of career
(if specified)</t>
  </si>
  <si>
    <t>Funding range 
(if specified)</t>
  </si>
  <si>
    <t>Notes and description</t>
  </si>
  <si>
    <t>Profiled</t>
  </si>
  <si>
    <t>American Society of 18th Century Studies</t>
  </si>
  <si>
    <t xml:space="preserve">Clifford Prize </t>
  </si>
  <si>
    <t>Arts &amp; Humanities</t>
  </si>
  <si>
    <t>award</t>
  </si>
  <si>
    <t>Similar deadline annually, but confirm date on website</t>
  </si>
  <si>
    <t>Russell Sage Foundation</t>
  </si>
  <si>
    <t>Inequality Research</t>
  </si>
  <si>
    <t>General</t>
  </si>
  <si>
    <t>research</t>
  </si>
  <si>
    <t> NIH Ethical Issues in Research on HIV/AIDS and its Co-Morbidities</t>
  </si>
  <si>
    <t>Sciences</t>
  </si>
  <si>
    <t>Language and Area Studies
Europe</t>
  </si>
  <si>
    <t>Fellowship on site</t>
  </si>
  <si>
    <t>The Berlin Program for Advanced German and European Studies offers up to one year of research support at the Freie Universität Berlin and is open to scholars in all social science and humanities disciplines, including historians working on the period since the mid-18th century.</t>
  </si>
  <si>
    <t xml:space="preserve">Kinship Conservation </t>
  </si>
  <si>
    <t>5+ years experience</t>
  </si>
  <si>
    <t>$6,000/1 month</t>
  </si>
  <si>
    <t>"We select the best and the brightest practitioners in the field and award them a $6,000 stipend and a month of valuable, cutting-edge training. Our curriculum is delivered by a faculty of global experts who work closely with each carefully selected cohort of Fellows to explore new ways to apply market-based approaches to environmental issues.
With our case study methodology, Fellows find new solutions to real life conservation challenges. Over the course of a month, Fellows attend dynamic sessions, participate in collaborative and independent projects, and enjoy a rich, multi-faceted experience."</t>
  </si>
  <si>
    <t>National Institutes of Health</t>
  </si>
  <si>
    <t>P-Series, T-Series, D-Series, R18, U18, R25, C06/UC6, G07, G08, G11, G12, G13, G20, R24, S06, S11, S21, S22, SC1, SC2, SC3, UG1, U10, U19, U24, U2C, U41, U42, U45, U54, U56</t>
  </si>
  <si>
    <t xml:space="preserve">5/25/17 OTHER DEADLINE
</t>
  </si>
  <si>
    <t>Arts &amp; Humanities
Dance</t>
  </si>
  <si>
    <t>"In honor of the centenary of Jerome Robbins in 2018, the focus of this fellowship cycle will be the Jerome Robbins papers (S) *MGZMD 130 and the Jerome Robbins personal papers (S) *MGZMD 182, as well as the many resources related to Robbins within the Library, such as the video and audio materials he donated. We are particularly interested in proposals that will uncover new aspects of Jerome Robbins’ legacy including, but not limited to, his photography, artwork and writing, as well as his overall contribution to dance."</t>
  </si>
  <si>
    <t>emailed to find out date 2.21.18  Reply was to keep checking.</t>
  </si>
  <si>
    <t>Education</t>
  </si>
  <si>
    <t>"The Cognition and Student Learning (CASL) topic supports research that capitalizes on our understanding of how the mind works to inform and improve education practice in reading, writing, mathematics, and science, and study skills. The long-term outcome of this research includes an array of tools and strategies (e.g., instructional approaches, curricula, assessments) based on principles of learning and information processing gained from cognitive science and cognitive neuroscience and documented to be efficacious for improving learning in authentic education settings."</t>
  </si>
  <si>
    <t>Hedgebrook Women Authoring Change</t>
  </si>
  <si>
    <t>Writers in Residence</t>
  </si>
  <si>
    <t>Creative Arts
Writing</t>
  </si>
  <si>
    <t>housing, meals, work space</t>
  </si>
  <si>
    <t>"Hedgebrook is on Whidbey Island, about thirty-five miles northwest of Seattle. Situated on 48-acres of forest and meadow facing Puget Sound, with a view of Mount Rainier, the retreat hosts writers from all over the world for residencies of two to six weeks, at no cost to the writer.
Six writers are in residence at a time, each housed in a handcrafted cottage. They spend their days in solitude – writing, reading, taking walks in the woods on the property or on nearby Double Bluff beach. In the evenings, they gather in the farmhouse kitchen to share a home-cooked gourmet meal, their work, their process and their stories. The Writers in Residence Program is Hedgebrook’s core program, supporting the fully-funded residencies of approximately 40 writers at the retreat each year."</t>
  </si>
  <si>
    <t>Alfred P. Sloan Foundation</t>
  </si>
  <si>
    <t>Sloan Research Fellowships</t>
  </si>
  <si>
    <t>Fellowship research</t>
  </si>
  <si>
    <t>Early career</t>
  </si>
  <si>
    <t>The Sloan Foundation "fund[s] research and education in science, technology, engineering, mathematics and economics" ... "The Sloan Research Fellowships seek to stimulate fundamental research by early-career scientists and scholars of outstanding promise." ... "Successful candidates for a Sloan Research Fellowship generally have a strong record of significant independent research accomplishments that demonstrate creativity and the potential to become future leaders in the scientific community. Nominated candidates are normally below the rank of associate professor and do not hold tenure, but these are not strict requirements."</t>
  </si>
  <si>
    <t>1.8.18</t>
  </si>
  <si>
    <t>Simons Foundation</t>
  </si>
  <si>
    <t>Sciences
Mathematics and Physics</t>
  </si>
  <si>
    <t>50% of salary &lt;$100,000 plus &lt;$10,000 for expenses related to a leave</t>
  </si>
  <si>
    <t>"The Simons Foundation’s Mathematics and Physical Sciences (MPS) division invites applications for the Simons Fellows in Mathematics program, which is intended to make sabbatical leaves more productive by extending them to a full academic year."</t>
  </si>
  <si>
    <t>50% of salary &lt;$100,000 plus &lt;$25,000 for expenses related to a leave</t>
  </si>
  <si>
    <t>"The Simons Foundation’s Mathematics and Physical Sciences (MPS) division invites applications for the Simons Fellows in Theoretical Physics program, which is intended to make sabbatical leaves more productive by extending them to a full academic year."</t>
  </si>
  <si>
    <t>Cornell University Society for the Humanities</t>
  </si>
  <si>
    <t>"Fellows include scholars and practitioners from other universities and members of the Cornell faculty released from regular duties. The fellowships are held for one academic year.... 
Fellows spend their time in research and writing, participate in the weekly Fellows Seminar, and offer one seminar related to their research. The seminars are generally informal, related to the Fellow's research, and open to graduate students, suitably qualified undergraduates, and faculty members. Fellows are encouraged to explore topics they would not normally teach and, in general, to experiment freely with both the content and the method of their courses."</t>
  </si>
  <si>
    <t>"The Society for the Humanities together with the Atkinson’s Center invites applications for a one-year residential fellowship at Cornell University on the topic of AUTHORITY as it relates to sustainability, the environment, energy, or economic development.... Other residential fellows at the Society include scholars and practitioners from other universities and members of the Cornell faculty released from regular duties, all working on the theme of Authority. Fellows spend their time in research and writing, participate in the weekly Fellows Seminar, and offer one seminar related to their research."</t>
  </si>
  <si>
    <t>American Philosophical Society</t>
  </si>
  <si>
    <t>Franklin Research Grants</t>
  </si>
  <si>
    <t>Fellowship in libraries and archives</t>
  </si>
  <si>
    <t>12/1/17 other deadline
"The Franklin program is particularly designed to help meet the costs of travel to libraries and archives for research purposes; the purchase of microfilm, photocopies, or equivalent research materials; the costs associated with fieldwork; or laboratory research expenses."</t>
  </si>
  <si>
    <t>$2,000,000/year</t>
  </si>
  <si>
    <t>"A Simons Collaboration in MPS should address a mathematical or theoretical topic of fundamental scientific importance, where a significant, new development creates a novel area for exploration or provides a new direction for progress in an established field. The questions addressed by the collaboration may be concrete or conceptual, but there should be little doubt that answering them would constitute a major scientific milestone."</t>
  </si>
  <si>
    <t>Botstiber Institute for Austrian-American Studies</t>
  </si>
  <si>
    <t>$1,750/month, plus room, travel, and research allowance</t>
  </si>
  <si>
    <t>"Junior and senior scholars from around the world with PhDs and publications in internationally recognized scholarly outlets are eligible for three- to ten-month fellowships at IAS CEU.
Fellowships are available for all scholarly work related to the historical, political or economic, and cultural relationship between the United States and present-day Austria or the countries that historically make up the Austro-Hungarian or Austrian Empires."</t>
  </si>
  <si>
    <t>National Gallery of Art</t>
  </si>
  <si>
    <t>Senior Fellowships</t>
  </si>
  <si>
    <t>A&amp;H
Art History</t>
  </si>
  <si>
    <t>5+ years postdoc</t>
  </si>
  <si>
    <t>50% of salary &lt;$50,000</t>
  </si>
  <si>
    <t>"The Center for Advanced Study in the Visual Arts announces its program for senior fellowships. Fellowships are for full-time research, and scholars are expected to reside in Washington and to participate in the activities of the Center throughout the fellowship period. Lectures, colloquia, and informal discussions complement the fellowship program....
The Paul Mellon and Ailsa Mellon Bruce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The Samuel H. Kress Senior Fellowships are intended to support research on European art before the early nineteenth century. The William C. Seitz Senior Fellowship is primarily intended to support research on modern and contemporary art. Senior fellowship applications are also solicited from scholars in other disciplines whose work examines artifacts or has implications for the analysis and criticism of form."</t>
  </si>
  <si>
    <t>monthly stipend negotiable</t>
  </si>
  <si>
    <t>"The National Humanities Center will offer up to 40 residential fellowships for advanced study in the humanities for the period September 2018 through May 2019. Applicants must have a doctorate or equivalent scholarly credentials.... In addition to scholars from all fields of the humanities, the Center accepts individuals from the natural and social sciences, the arts, the professions, and public life who are engaged in humanistic projects."</t>
  </si>
  <si>
    <t>Language and Area Studies
Latin America and Caribbean</t>
  </si>
  <si>
    <t>Fellowship</t>
  </si>
  <si>
    <t>$65,000/year for two years</t>
  </si>
  <si>
    <t>"These two-year fellowships, supported by a grant from The Andrew W. Mellon Foundation, will provide five recent Ph.D.s with professional development, education, and training opportunities in data curation for the humanities or related social sciences focused on Latin American and Caribbean Studies. The fellows’ work must draw upon their disciplinary expertise in order to help advance data curation practices and services at their host institutions."</t>
  </si>
  <si>
    <t>Language and Area Studies
Middle East</t>
  </si>
  <si>
    <t>travel. Insurance, visa support, and $10,000 stipend</t>
  </si>
  <si>
    <t>"The Zahedi Family Fellowship is a twelve-week residential fellowship at Stanford University’s Hamid and Christina Moghadam Program in Iranian Studies (ISP). The fellow will focus on the new Zahedi Archive (which includes both diplomatic correspondence and collected photos) housed at the Hoover Institution at Stanford. During the fellowship period, the Zahedi Fellow is expected to pursue her or his independent research in residency and to hold a lecture, seminar or workshop on his or her research, organized by ISP....
The fellowship is open to scholars and artists working on the modern history of Iran, particularly the period of 1941 to 1979. Preference will be given to scholars who have worked on aspects of modern Iranian foreign policy, history, and culture. Fluency in Persian is required."</t>
  </si>
  <si>
    <t>Harvard University Center for Hellenic Studies</t>
  </si>
  <si>
    <t>Fellowships</t>
  </si>
  <si>
    <t>Language and Area Studies
Ancient Greece</t>
  </si>
  <si>
    <t>&lt;$18,000 plus housing, relocation, health insurance</t>
  </si>
  <si>
    <t>"The CHS fellowship program encourages and supports research of the highest quality on topics related to ancient Greece. The program offers an option for collaborative proposals and a non-residential option for researchers in Greece and Cyprus.... Scholars in the social sciences and humanities are eligible to apply for the program. While a wide-range of topics receive support each year, all funded research must contribute to a body of knowledge enabling the U.S. to better understand the region and formulate effective policies within it. All applicants should clearly describe the policy-relevance of their work, be it in anthropology, history, international relations, political science, or some other field."</t>
  </si>
  <si>
    <t>$10,000-30,000/3-9 months</t>
  </si>
  <si>
    <t>"It offers two major research libraries: the Blegen, with over 107,000 volumes dedicated to the ancient Mediterranean world; and the Gennadius, with over 146,000 volumes and archives devoted to post-classical Hellenic civilization and, more broadly, the Balkans and the eastern Mediterranean. The School also sponsors excavations and provides centers for advanced research in archaeological and related topics at its excavations in the Athenian Agora and Corinth, and it houses an archaeological laboratory at the main building complex in Athens." 
"Postdoctoral scholars and professionals in relevant fields including architecture or art who are US citizens or foreign nationals who have lived in the US for the three years immediately preceding the application deadline. Applicants must already hold their PhD or equivalent terminal degree at the time of application." "NEH Fellows will be expected to reside primarily at the American School of Classical Studies at Athens (though research may be carried out elsewhere in Greece)."</t>
  </si>
  <si>
    <t xml:space="preserve">&lt;5 years postdoc 
early career </t>
  </si>
  <si>
    <t>$52,500 plus $3,000 for research costs</t>
  </si>
  <si>
    <t>"The Schusterman Center for Israel Studies at Brandeis University invites applications for our Israel Institute Post-doctoral Fellowship in Israel Studies 2018-2019. Priority given to PhDs in Gender Studies, Economics, Politics, Social Sciences, and Theater, Film and Media Studies.
The fellow will teach one course per semester in Israel Studies, in the relevant Brandeis department. The fellow is expected to be in residence at Brandeis University, participate actively in the intellectual life of the Schusterman Center for Israel Studies, and present at least one public lecture."</t>
  </si>
  <si>
    <t>NatureNet Science Fellow Program</t>
  </si>
  <si>
    <t>Sciences
Biology and Earth Science</t>
  </si>
  <si>
    <t>Fellowship travel</t>
  </si>
  <si>
    <t>early career</t>
  </si>
  <si>
    <t>"The NatureNet Science Fellows and Research Grant program aims to bridge academic excellence and conservation practice to confront climate change, and to create a new generation of conservation leaders who combine the rigor of academic science with real-world application. Within this framework, the program goals are to:
Support innovative and impact-oriented research that help deliver TNC outcomes;
Invest in the talent potential of a new generation of climate change leaders;
Recruit scientists who bring a diversity of culture, experience, and ideas into conservation; and
Provide partner universities and fellows with access to real-world conservation issues.
Within these goals are two overarching themes:
THEME 1: HALTING CLIMATE CHANGE
THEME 2: ADAPTING TO CLIMATE CHANGE"</t>
  </si>
  <si>
    <t>SocSci
Anthropology and Archeology</t>
  </si>
  <si>
    <t>Research</t>
  </si>
  <si>
    <t>early career (preference given to &lt;8 years postdoc)</t>
  </si>
  <si>
    <t>"The Steinmetz Fund will support the use of technology in archaeological research by providing grants to archaeological projects that make innovative use of technological tools and methods. Normally, such projects will have a fieldwork element. However, research conducted in a laboratory setting that employs technology may also be eligible for a grant....
Projects may concern any location in the world and any time period, but must be designed to address important questions about the human past specifically through technological means."</t>
  </si>
  <si>
    <t>"The Julie Herzig Desnick Fund will provide grants to archaeologists to start new archaeological survey projects. The awards are intended for projects involving field survey on the ground or a combination of field survey and remote sensing methods, rather than those based entirely on satellite imagery or other remote sensing data. Geophysical survey projects are also eligible....
Projects may concern any location in the world and any time period. Each project should make innovative use of technology, and the fieldwork proposed should be designed to address important questions about the human past."</t>
  </si>
  <si>
    <t>"The Boochever Fund will support both fieldwork and laboratory research informed by new technologies. While the fund’s primary purpose is to help defray the start-up costs of new projects, archaeologists exploring innovative applications of new technologies in any stage of their work are welcome to apply. 
Projects may concern any location in the world and any time period, but must be designed to address significant questions about the human past through the use of state-of-the-art technology, understood broadly to include not only digital tools and approaches, but also those developed in engineering, chemistry, biology, physics, etc."</t>
  </si>
  <si>
    <t>Research
project</t>
  </si>
  <si>
    <t>one grant for first-time directors, another without restrictions</t>
  </si>
  <si>
    <t>&lt;$25,000</t>
  </si>
  <si>
    <t>"To provide excavation support for professional AIA members working around the world."</t>
  </si>
  <si>
    <t>Fitch Foundation</t>
  </si>
  <si>
    <t>10+ years postdoc</t>
  </si>
  <si>
    <t>&lt;$15,000</t>
  </si>
  <si>
    <t>"Research grants of up to $15,000 will be awarded to one mid-career professional whose research project relates to the appreciation, interpretation, preservation, study and teaching of European art, architecture and related disciplines from antiquity to the early 19th century, in the context of historic preservation in the United States. Potential Kress Fellow projects could include the exploration of shared European and American influences in style, design, materials, construction techniques, building types, conservation and interpretation methodologies, philosophical and theoretical attitudes, and other factors applicable to preservation in both Europe and America."</t>
  </si>
  <si>
    <t>Hubble Fellowship Program</t>
  </si>
  <si>
    <t>"The NASA Hubble Fellowship Program (NHFP) supports outstanding postdoctoral scientists to pursue independent research in any area of NASA Astrophysics, using theory, observation, experimentation, or instrumental development.  
The new NHFP preserves the legacy of NASA’s previous postdoctoral fellowship programs; once selected, fellows are named to one of three sub-categories corresponding to NASA’s “big questions:”  
How does the Universe work? – Einstein Fellows
How did we get here? – Hubble Fellows
Are we alone? – Sagan Fellows"</t>
  </si>
  <si>
    <t>Individual Residential Fellowships</t>
  </si>
  <si>
    <t>Social Sciences</t>
  </si>
  <si>
    <t>$75,000/one year</t>
  </si>
  <si>
    <t>"In addition to scholars working in fields of the behavioral and social sciences, those in other areas will also be considered for fellowships if their work has human behavioral and social dimensions.... Fellows must reside during their fellowship term in a community within ten miles of the Center. CASBS partners with several entities to provide funding for some residential fellows whose research projects focus on certain topics.
An applicant’s statement of interest in one of these options does not bear on the CASBS fellowship selection committee’s process, nor does it guarantee that an applicant will receive this particular fellowship in the event that they are awarded a CASBS fellowship."</t>
  </si>
  <si>
    <t>Princeton University Center for Human Values</t>
  </si>
  <si>
    <t>Laurance S. Rockefeller Visiting Faculty Fellowships</t>
  </si>
  <si>
    <t>&lt;50% salary</t>
  </si>
  <si>
    <t>"Fellows devote an academic year in residence at Princeton to research and writing about topics involving human values in public and private life. The program is open to scholars in all disciplines provided their research plans qualify. In recent years fellows have been drawn from fields including philosophy, political theory, literature, history, classics, economics and law, but this list is not meant to be exhaustive."</t>
  </si>
  <si>
    <t>Department of the Interior Fish and Wildlife Service</t>
  </si>
  <si>
    <t>Neotropical Migratory Bird Conservation Act Grants</t>
  </si>
  <si>
    <t>grant</t>
  </si>
  <si>
    <t>National Science Foundation</t>
  </si>
  <si>
    <t>"The Directorate for Biological Sciences (BIO) awards Postdoctoral Research Fellowships in Biology to recent recipients of the doctoral degree for research and training in selected areas supported by BIO and with special goals for human resource development in biology.  The fellowships encourage independence at an early stage of the research career to permit Fellows to pursue their research and training goals in the most appropriate research locations regardless of the availability of funding for the Fellows at that site....
The fellowships are also designed to provide active mentoring of the Fellows by the sponsoring scientists who will benefit from having these talented young scientists in their research groups. The research and training plan of each fellowship must address important scientific questions within the scope of the BIO Directorate and the specific guidelines in this fellowship program solicitation."</t>
  </si>
  <si>
    <t>School for Advanced Research</t>
  </si>
  <si>
    <t>Residential Scholars</t>
  </si>
  <si>
    <t>DEADLINE: first Monday in November each year
"Resident scholar fellowships are awarded annually by the School for Advanced Research (SAR) to up to six scholars who have completed their research and who need time to prepare manuscripts or dissertations on topics important to the understanding of humankind. Resident scholars may approach their research from the perspective of anthropology or from related fields such as history and sociology. Scholars from the humanities and social sciences are encouraged to apply."</t>
  </si>
  <si>
    <t>Henry Luce Foundation</t>
  </si>
  <si>
    <t>Language and Area Studies
Asia</t>
  </si>
  <si>
    <t>&lt;7 years postdoc</t>
  </si>
  <si>
    <t>&lt;$50,000</t>
  </si>
  <si>
    <t>"Postdoctoral fellowships support research and writing toward a scholarly product in English. Priority will be given to proposals based on the applicant’s research in China.
A working knowledge of Chinese is required.
Stipends may be used for travel, living expenses, and research costs."</t>
  </si>
  <si>
    <t>Advancing Informal STEM Learning</t>
  </si>
  <si>
    <t>programming</t>
  </si>
  <si>
    <t>“The Advancing Informal STEM Learning (AISL) program seeks to advance new approaches to and evidence-based understanding of the design and development of STEM learning opportunities for the public in informal environments; provide multiple pathways for broadening access to and engagement in STEM learning experiences; advance innovative research on and assessment of STEM learning in informal environments; and engage the public of all ages in learning STEM in informal environments.
The AISL program supports six types of projects: (1) Pilots and Feasibility Studies, (2) Research in Service to Practice, (3) Innovations in Development, (4) Broad Implementation, (5) Literature Reviews, Syntheses, or Meta-Analyses, and (6) Conferences.”</t>
  </si>
  <si>
    <t>National Endowment for Democracy</t>
  </si>
  <si>
    <t>"The Reagan-Fascell Democracy Fellows Program hosts democracy activists, scholars, and journalists for five-month fellowships, bringing fresh insights and perspectives to Washington, DC. The fellowship offers an important opportunity to explore new ideas in a comparative context, undertake individual research, and share best practices with one another."</t>
  </si>
  <si>
    <t>PROCESS BEING OVERHAULED--CHECK AUGUST 1
"The RSA–Patricia H. Labalme Fellowship, in collaboration with the Fondazione Giorgio Cini, supports a one-month residence at the Centro Vittore Branca on the Isola di San Giorgio Maggiore for the purpose of research in Venice."</t>
  </si>
  <si>
    <t>Princeton Program in Law and Public Affairs</t>
  </si>
  <si>
    <t>&lt;50% of salary</t>
  </si>
  <si>
    <t>"The Program in Law and Public Affairs (LAPA) at Princeton University invites outstanding faculty members of any discipline, independent scholars, lawyers, and judges to apply for visiting, residential appointments for the academic year 2018-2019.  LAPA Fellows devote the major portion of their time to their own research and writing on law-related subjects of empirical, interpretive, doctrinal and/or normative significance.  In addition, LAPA Fellows are expected to be in residence for ten months and participate in LAPA programs, including a biweekly seminar, a weekly luncheon discussion group, as well as some public events and conferences."</t>
  </si>
  <si>
    <t>Integrated Earth Systems</t>
  </si>
  <si>
    <t>American Society for Eighteenth-Century Studies</t>
  </si>
  <si>
    <t>Louis Gottschalk Prize</t>
  </si>
  <si>
    <t>A&amp;H
History</t>
  </si>
  <si>
    <t>A&amp;H
Philosophy and Religion</t>
  </si>
  <si>
    <t>&lt;$70,000</t>
  </si>
  <si>
    <t>"These fellowships provide scholars time free from teaching and other responsibilities to devote full-time to research and writing on the project proposed. The fellowship period may last up to nine months, during which time no teaching, commissioned research on other topics, or administrative duties are allowed. The fellowship may be separated into two periods, each of which must be a minimum of three months."</t>
  </si>
  <si>
    <t>$3,500-4-000</t>
  </si>
  <si>
    <t>"The Ransom Center['s]... extensive collections provide unique insight into the creative process of writers and artists, deepening our understanding and appreciation of literature, photography, film, art, and the performing arts." 
"For its 2018–2019 fellowship program, the Ransom Center will award 10 dissertation fellowships and up to 50 postdoctoral fellowships for projects that require substantial on-site use of its collections. The fellowships support research in all areas of the humanities, including literature, photography, film, art, the performing arts, music, and cultural history."</t>
  </si>
  <si>
    <t>Language and Area Studies,
Translation</t>
  </si>
  <si>
    <t>Project</t>
  </si>
  <si>
    <t>&lt;$80,000</t>
  </si>
  <si>
    <t>"These grants support a broad range of endeavor, from the creation of critical editions (with full scholarly apparatus), to translation of canonical texts into modern vernaculars, to the translation of scholarly works on Buddhism from one modern language into another.
Collaborative projects will receive priority. Ideally, they will involve scholars who are native speakers of the relevant source and target languages, and/or scholars experienced in research and study in those languages."</t>
  </si>
  <si>
    <t>Biological Anthropology</t>
  </si>
  <si>
    <t>fellowship on site</t>
  </si>
  <si>
    <t>$3,000/month for short term
$50,000 for 9-12 months</t>
  </si>
  <si>
    <t>"The Dibner Program in the History of Science offers scholars the opportunity to work in the Huntington’s Burndy Library and its other resources for the study of history of science and technology."</t>
  </si>
  <si>
    <t>Society for Classical Studies</t>
  </si>
  <si>
    <t>A list of grants, including Newberry, AIA, and several others focused on classical studies and archeology in the mediterranean.</t>
  </si>
  <si>
    <t>Visiting Scholar Research Program</t>
  </si>
  <si>
    <t>"ISAW's scope embraces research and graduate education in the history, archaeology, and culture of the entire Old World from late prehistoric times to the eighth century AD, including Asia and Africa. Projects of a theoretical or comparative nature relevant to this domain are also welcome. Academic visitors at ISAW should be individuals of scholarly distinction or promise in any relevant field of ancient studies who will benefit from the stimulation of working in an environment with colleagues in other disciplines. Applicants with a history of interdisciplinary exchange are particularly welcome. They will be expected to be in residence at the Institute during the period for which they are appointed and to take part in the intellectual life of the community."</t>
  </si>
  <si>
    <t>Dynamics of Coupled Natural and Human Systems Program</t>
  </si>
  <si>
    <t>Andrew W. Mellon Foundation Postdoctoral Curatorial Fellowship</t>
  </si>
  <si>
    <t>&lt;5 years</t>
  </si>
  <si>
    <t>$47,000/year for two years</t>
  </si>
  <si>
    <t>"The Mellon Fellow’s primary responsibility will be to conduct research for exhibitions exploring the intersections of history, art, and science. The Fellow will be fully integrated into the APS Museum staff, working closely with others on the curatorial team. They will select objects for exhibitions and develop thematic narratives. The Fellow will gain extensive experience in planning and implementing exhibitions as well as researching and writing interpretive materials for non-scholarly audiences (exhibition labels and text panels, website text, etc.). Depending on the Fellow’s interests and the Museum’s needs, they may also participate in public programming, museum education, collections management, and website development. Twenty percent of the Fellow’s time will be reserved for their own independent research, ideally using resources at the APS or kindred regional institutions."</t>
  </si>
  <si>
    <t>&lt;$150,000/2 years</t>
  </si>
  <si>
    <t>"This Russell Sage Foundation initiative will support innovative social science research on the social, economic and political effects of the Affordable Care Act. We are especially interested in funding analyses that address important questions about the effects of the reform on outcomes such as financial security and family economic well-being, labor supply and demand, participation in other public programs, family and children’s outcomes, and differential effects by age, race, ethnicity, nativity, or disability status. We are also interested in research that examines the political effects of the implementation of the new law, including changes in views about government, support for future government policy changes, or the impact on policy development outside of health care. Funding is available for secondary analysis of data or for original data collection. We welcome projects that propose novel uses of existing data, as well as projects that propose to analyze newly available or underutilized data."</t>
  </si>
  <si>
    <t xml:space="preserve">Schomburg Center for Research in Black Culture at the New York Public Library </t>
  </si>
  <si>
    <t>Scholars-in-Residence</t>
  </si>
  <si>
    <t>$2,500/month
$35,000/6 months</t>
  </si>
  <si>
    <t>"The Schomburg Center Scholars-in-Residence Program offers long-term and short-term fellowships to support scholars and writers working on projects that would benefit from access to the Center's extensive resources for the study of African diasporic history, politics, literature, and culture.
The Schomburg Center is a world-renowned repository of sources on every facet of the African diasporic experience, with extensive holdings including numerous unique manuscript and archival collections as well as a comprehensive range of publications, photographs, films, audio recordings, and visual art."</t>
  </si>
  <si>
    <t>Asian Cultural Council</t>
  </si>
  <si>
    <t>Individual Grants</t>
  </si>
  <si>
    <t>Smithsonian</t>
  </si>
  <si>
    <t>$54,400/year + $4,000 research costs</t>
  </si>
  <si>
    <t>"The purpose of the Mpala Postdoctoral Fellowship is to promote the study of biology, anthropology, geology, hydrology, material science, social science, soil science or related areas. Projects must be tenable in residence at Smithsonian Institution facilities and Mpala Research Centre.... Fellowships are offered by the Smithsonian Institution to provide opportunities for graduate students, predoctoral students, and postdoctoral and senior investigators to conduct research in association with members of the Smithsonian professional research staff, and to utilize the resources of the Institution."</t>
  </si>
  <si>
    <t>Austen Riggs Center</t>
  </si>
  <si>
    <t>Erikson Scholar Program</t>
  </si>
  <si>
    <t>Sciences
Psychology and Neuroscience</t>
  </si>
  <si>
    <t>stipend, housing</t>
  </si>
  <si>
    <t>"This endowed scholar-in-residence program brings scholars to the Center to carry out their research projects in conversation with the clinical staff.  Scholars are selected both for the centrality of their theme to the work of the staff and for the potential of that work to enrich and be enriched by interaction with the clinical program.  Academicians, clinicians, and other professionals are invited into the clinical and intellectual life of the Center through participation in seminars, lectures, case discussions and other interdisciplinary activities, including the Erikson Institute-Williams College Study Group and Interdisciplinary Forums. 
In addition to mental health professionals, academicians in the fields of anthropology, history, law, literary criticism, political science, sociology and other relevant disciplines are encouraged to apply. Generally, scholars are in residence at the Center for a period of fourteen weeks.  The position includes a stipend, housing (pet and smoke-free), administrative support, and use of the Center’s library."</t>
  </si>
  <si>
    <t>Popular Culture Association</t>
  </si>
  <si>
    <t>Endowment and Travel Grants</t>
  </si>
  <si>
    <t>travel grants</t>
  </si>
  <si>
    <t>"The Endowment Fund of the Popular Culture Association was established in 1997 as a commitment to the long-term future of the study of American culture and popular culture in all its forms, venues, contexts, and exchanges.   In 2018, ninety scholarships will be offered to support travel to the meeting–forty for graduate students ($500), fifteen for early-career faculty ($1,000), fifteen for International faculty ($1,500), ten for faculty from 2-year colleges ($1,000), and ten for associate or full professors ($1,000).  Research and travel to collection grants ($1,000) will be given to three individuals and one grant ($7,500) will go to support collection building."</t>
  </si>
  <si>
    <t>High-Rick Research in Biological Anthropology and Archeology</t>
  </si>
  <si>
    <t>"Anthropological research may be conducted under unusual circumstances, often in distant locations. As a result the ability to conduct potentially important research may hinge on factors that are impossible to assess from a distance and some projects with potentially great payoffs may face difficulties in securing funding. This program gives small awards that provide investigators with the opportunity to assess the feasibility of an anthropological research project. The information gathered may then be used as the basis for preparing a more fully developed research program. Projects which face severe time constraints because of transient phenomena or access to materials may also be considered."</t>
  </si>
  <si>
    <t>McKnight Foundation</t>
  </si>
  <si>
    <t>Technological Innovations in Neuroscience</t>
  </si>
  <si>
    <t>technology</t>
  </si>
  <si>
    <t>$100,000/year for 2 years</t>
  </si>
  <si>
    <t>"These awards support scientists working on new and unusual approaches to understanding brain function. The program seeks to advance and enlarge the range of technologies available to the neurosciences. It does not support research based primarily on existing techniques.
The Endowment Fund is especially interested in how technology may be used or adapted to monitor, manipulate, analyze, or model brain function at any level, from the molecular to the entire organism. Collaborative and cross-disciplinary applications are invited."</t>
  </si>
  <si>
    <t>Interdisciplinary Behavior and Social Science Research</t>
  </si>
  <si>
    <t>"The Summer Faculty Research Program provides science and engineering faculty members from institutions of higher education the opportunity to participate in research of mutual interest to the faculty member and peers at U.S. Navy laboratories for a 10-week period....
Program participants have an opportunity to establish continuing research relationships with the R&amp;D personnel of the host laboratories which may result in sponsorship of the participant’s research at their home institutions."</t>
  </si>
  <si>
    <t>Gladys Krieble Delmas Foundation</t>
  </si>
  <si>
    <t>Venetian Research Program for Individual Scholars</t>
  </si>
  <si>
    <t xml:space="preserve">Gruber Foundation </t>
  </si>
  <si>
    <t>Genetics Prize</t>
  </si>
  <si>
    <t>Neuroscience Prize</t>
  </si>
  <si>
    <t>McGovern Institute</t>
  </si>
  <si>
    <t>Scolnick Prize in Neuroscience</t>
  </si>
  <si>
    <t xml:space="preserve">American Sociological Association </t>
  </si>
  <si>
    <t>Fund for the Advancement of the Discipline</t>
  </si>
  <si>
    <t>SocSci
Sociology</t>
  </si>
  <si>
    <t>Collaborative Research in Computational Neuroscience</t>
  </si>
  <si>
    <t>None</t>
  </si>
  <si>
    <t>"In the interest of promoting scholarly research on all aspects of Middle Eastern and Islamic studies, the Center for Middle Eastern Studies appoints a small number of Visiting Researchers each academic year. Their work covers a wide range of fields, including anthropology, religion, history, political science, economics, and literature. The Visiting Researchers contribute to a lively community at CMES that encourages interdisciplinary contact."</t>
  </si>
  <si>
    <t>"Every year, the Minda de Gunzburg Center for European Studies hosts a number of Visiting Scholars from the United States, Europe and other parts of the globe. Visiting Scholars are chosen from a pool of applications from post-doctoral social scientists and historians who are working on modern Europe. They continue their research on the Harvard campus while engaging with CES faculty, graduate and undergraduate students and participating in study groups, seminars, and conferences."</t>
  </si>
  <si>
    <t xml:space="preserve">American Association for Clinical Chemistry </t>
  </si>
  <si>
    <t>Outstanding Scientific Achievements by a Young Investigator</t>
  </si>
  <si>
    <t>Sciences
Chemistry</t>
  </si>
  <si>
    <t>early career (&lt;40 yo)</t>
  </si>
  <si>
    <t>“This award recognizes and encourages the professional development of a young investigator who has demonstrated exceptional scientific achievements early in his or her career. It is given based on the degree of originality exhibited in the individual's creative process and the significance of the research conducted relevant to the field of clinical laboratory medicine. It is conferred upon an individual who has the potential to be an outstanding investigator of the future. (The individual must not have reached the age of 40 by January 1 in the year in which the award is to be given and must be an AACC member.)”</t>
  </si>
  <si>
    <t>American Psychological Foundation</t>
  </si>
  <si>
    <t>Dr. Rosalee G. Weiss Lecture for Outstanding Leaders in Psychology</t>
  </si>
  <si>
    <t>Featured 2.1.18</t>
  </si>
  <si>
    <t>Pearson Early Career Grant</t>
  </si>
  <si>
    <t>Rutgers University</t>
  </si>
  <si>
    <t>The Louis O. Kelso Fellowships</t>
  </si>
  <si>
    <t>"The Louis O. Kelso Fellowships are awarded to outstanding scholars studying the topic of broadened ownership of capital in a democraticsociety in the United States. Ph.D. candidates, postdoctoral scholars, or visiting professors in the areas of business/economics/labor studies/management, history, law, philosophy, political science, psychology, public policy, or sociology may apply.... 
The general theme of the fellowship includes the study of the idea and practice and public policy of broadening the ownership of capital assets in society such as the Employee Stock Ownership Plan (ESOP), which broadens the ownership of corporations, as well as approaches whereby consumers may have capital ownership of enterprises and individual citizens may have access to opportunities for capital acquisition. The relevance of these and other related ideas to the concept of economic democracy and democratic capitalism can also be pursued.
The fellows may be supported at their home institution or may be in residence at Rutgers University with the period and length of residency varying between July 1 and June 30 of the academic year.  The fellows will receive stipends of $12,500 that can be used for research, travel, or living expenses."</t>
  </si>
  <si>
    <t>$5,000/month</t>
  </si>
  <si>
    <t>"Harvard Law School's Islamic Legal Studies Program: Law and Social Change invites applications for Visiting Fellowships for the 2018-2019 academic year. This fellowship provides opportunities for outstanding scholars and legal practitioners to undertake research, writing, and scholarly engagement on Islamic law that furthers the Program's mission. We are particularly interested in applicants whose work focuses on human rights, women’s rights, children’s rights, minority rights, animal welfare and rights, constitutional law, food law, environmental law and climate change in particular, migration and refugee studies, LGBTQ issues, and related areas.
We welcome applicants with a JD, LLM, SJD, PhD or other comparable degree who are interested in spending from one month up to one year in residence at Harvard Law School working on an independent project."</t>
  </si>
  <si>
    <t>travel and up to two weeks lodging at NCSU</t>
  </si>
  <si>
    <t>"Visiting Scholar Grants provide funding for researchers working on early Arab diaspora and migration to work at the Khayrallah Center for a period of 1 to 2 weeks. Researchers will have access to resources available at the Khayrallah Center’s archive."</t>
  </si>
  <si>
    <t>Max Planck Institute for the History of Science</t>
  </si>
  <si>
    <t>Visiting Fellows Unsolicitied Applications</t>
  </si>
  <si>
    <t>Sciences
History of Science</t>
  </si>
  <si>
    <t>"Since its inception, the institute has approached the fundamental questions of the history of knowledge from the Neolithic era to the present day. Researchers at the institute pursue an historical epistemology in their study of how new categories of thought, proof, and experience have emerged in interactions between the sciences and their ambient cultures." ... "In conjunction with ongoing research (such as Working Groups), a small number of Visiting Scholars are invited to the MPIWG for stays ranging from several weeks to several months."</t>
  </si>
  <si>
    <t>up to $5000</t>
  </si>
  <si>
    <t>Applicant must be a graduate student or untenured faculty member conducting research on modern Chinese history at a university or college; or an advanced undergraduate, graduate student, or untenured faculty at a university or college program studying Chinese archaeology.</t>
  </si>
  <si>
    <t>Brain Research Foundation</t>
  </si>
  <si>
    <t>Seed Grant</t>
  </si>
  <si>
    <t>"Brain Research Foundation supports neuroscience research that leads to advanced understanding of brain function in children and adults. This Foundation is committed to advance discoveries that will lead to novel treatments and prevention of all neurological diseases."
"Brain Research Foundation’s Fay/Frank Seed Grant Program was founded in 1981 with the goal of providing start-up money for new and innovative research projects that have the potential to become competitive for an NIH grant or other external funding sources. Our goal is to have this grant succeed in opening future opportunities for research, collaboration and scientific advancement."</t>
  </si>
  <si>
    <t>Gale Cengage History Research and Innovation Award</t>
  </si>
  <si>
    <t>Library Science</t>
  </si>
  <si>
    <t>Award</t>
  </si>
  <si>
    <t>The award will be granted to an MLS degreed librarian from an ALA accredited school to facilitate and further research relating to history and history librarianship.  An emphasis in an area reflected by the History Section’s subject-oriented committees, not excluding American history, is required.  Those committees are: Genealogy, Local History, Instruction and Research Services, and Historical Materials.</t>
  </si>
  <si>
    <t>American Psychological Association</t>
  </si>
  <si>
    <t>APA Congressional Fellowship Program</t>
  </si>
  <si>
    <t>$75,000-90,000</t>
  </si>
  <si>
    <t>"The purpose of this fellowship is to provide psychologists with an invaluable public policy learning experience, to contribute to the more effective use of psychological knowledge in government and to broaden awareness about the value of psychology-government interaction among psychologists and within the federal government. Fellows spend one year working on the staff of a member of Congress or congressional committee. Activities may involve drafting legislation, conducting oversight work, assisting with congressional hearings and events, and preparing briefs and speeches. Fellows also attend a two-week orientation program on congressional and executive branch operations, which provides guidance for the congressional placement process, and participate in a yearlong seminar series on science and public policy issues. The American Association for the Advancement of Science (AAAS) administers these professional development activities for the APA fellows and for fellows sponsored by over two dozen other professional societies."</t>
  </si>
  <si>
    <t>Western Association of Women Historians</t>
  </si>
  <si>
    <t>Awards and Prizes</t>
  </si>
  <si>
    <t xml:space="preserve">The Western Association of Women Historians offers 8 annual awards and prizes for articles and books published in the last year, unless otherwise stipulated.  Those of relevance to faculty are:
“The Judith Lee Ridge Prize is an annual prize that recognizes the best article in the field of history published by a WAWH member... The article must have been published in one of the two years preceding the prize year.”
“The Frances Richardson Keller-Sierra Prize is an annual prize that recognizes the best monograph in the field of history published by a WAWH member.”
“The Barbara “Penny” Kanner Award is an annual award given to honor a book, book chapter, article, or electronic media that has been verifiably published or posted in the two years prior to the award year and which illustrates the use of a specific set of primary sources (diaries, letters, interviews etc).”
“The Gita Chaudhuri Prize is an annual prize that recognizes the best monograph about the history of women in rural environments, from any era and any place in the world, published by a WAWH member… The book must have been published in one of the three years prior to the prize.”
“The Frances Richardson Keller-Sierra Prize is an annual $400 prize that recognizes the best monograph in the field of history published by a WAWH member.”  </t>
  </si>
  <si>
    <t>Sciences
Health and Medicine</t>
  </si>
  <si>
    <t>mid-career
experienced</t>
  </si>
  <si>
    <t>5/7/18, 9/7/18 OTHER DEADLINES
"The Ruth L. Kirschstein National Research Service Awards for Senior Fellows (F33) provides up to two years of support for experienced scientists who wish to make major changes in the direction of their research careers or who wish to broaden their scientific background by acquiring new research capabilities. These awards are targeted to individuals with at least seven years of research experience beyond the doctorate, and who have progressed to the stage of independent investigator. In most cases, this award is used to support sabbatical experiences."</t>
  </si>
  <si>
    <t>$1,400-1,900/week</t>
  </si>
  <si>
    <t>Scholars Award</t>
  </si>
  <si>
    <t xml:space="preserve">“The McKnight Endowment Fund for Neuroscience supports innovative research designed to bring science closer to the day when diseases of the brain can be accurately diagnosed, prevented, and treated. To this end, the McKnight Endowment Fund for Neuroscience invites applications for the 2018 McKnight Scholar Awards.
Background: These awards were established to encourage emerging neuroscientists to focus on disorders of learning and memory. Applicants for the McKnight Scholar Award must demonstrate interest in solving important problems in relevant areas of neuroscience, including the translation of basic research to clinical neuroscience. Awards are given to exceptional young scientists who hold the M.D. and/or Ph.D. degree and who are in the early stages of establishing an independent laboratory and research career. Traditionally, successful candidates have held faculty positions for at least one year.”  </t>
  </si>
  <si>
    <t>National Endowment for the Arts</t>
  </si>
  <si>
    <t>Translation Projects Fellowship</t>
  </si>
  <si>
    <t>A&amp;H
English Literature and Translation</t>
  </si>
  <si>
    <t>fellowship project</t>
  </si>
  <si>
    <t>$12,500-$25,000</t>
  </si>
  <si>
    <t>"Through its fellowships in literary translation, the NEA supports the new translation of fiction, creative nonfiction, poetry, and drama into English. Among this year’s projects are awardwinning novels, short stories, poetry, and a play from 15 languages and five continents, including works from Japan, Madagascar, and India. In addition, most of the translated works are appearing for the first time in English and ten of them are by female authors."</t>
  </si>
  <si>
    <t>Translation Projects</t>
  </si>
  <si>
    <t>project</t>
  </si>
  <si>
    <t>Major Research Instrumentation - Internal Contact</t>
  </si>
  <si>
    <t>MRI</t>
  </si>
  <si>
    <t>Annual deadline of 2nd Wednesday in January</t>
  </si>
  <si>
    <t>Intel Partnership on Microarchitecture Research</t>
  </si>
  <si>
    <t>"The confluence of transistor scaling, increases in the number of architecture designs per process generation, the slowing of clock frequency growth, and recent success in research exploiting Thread Level Parallelism (TLP) and Data Level Parallelism (DLP) all point to an increasing opportunity for innovative microarchitecture techniques and methodologies in delivering performance growth in the future.
The NSF/Intel Partnership on Foundational Microarchitecture Research will support transformative microarchitecture research targeting improvements in instructions per cycle (IPC). This solicitation seeks microarchitecture technique innovations beyond simplistic, incremental scaling of existing microarchitectural structures. Specifically, FoMR seeks to advance research that has the following characteristics: (1) high IPC techniques ranging from microarchitecture to code generation; (2) “microarchitecture turbo” techniques that marshal chip resources and system memory bandwidth to accelerate sequential or single-threaded programs; and (3) techniques to support efficient compiler code generation. Advances in these areas promise to provide significant performance improvements to continue the cadence promised by Moore’s Law."</t>
  </si>
  <si>
    <t>Harvard University Holton Library</t>
  </si>
  <si>
    <t>Visiting Fellowships</t>
  </si>
  <si>
    <t>"Houghton Library is pleased to offer short-term visiting fellowships to assist scholars with the cost of travel and accommodation to come and pursue their research at the library....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t>
  </si>
  <si>
    <t>Kress Foundation</t>
  </si>
  <si>
    <t>History of Art Grants Program</t>
  </si>
  <si>
    <t>Project
Dissemination</t>
  </si>
  <si>
    <t xml:space="preserve">“The History of Art program supports scholarly projects that will enhance the appreciation and understanding of European art and architecture. Grants are awarded to projects that create and disseminate specialized knowledge, including archival projects, development and dissemination of scholarly databases, documentation projects, museum exhibitions and publications, photographic campaigns, scholarly catalogues and publications, and technical and scientific studies.
Grants are also awarded for activities that permit art historians to share their expertise through international exchanges, professional meetings, conferences, symposia, consultations, the presentation of research, and other professional events.”  </t>
  </si>
  <si>
    <t>12.5.17</t>
  </si>
  <si>
    <t>Project/Dissemination</t>
  </si>
  <si>
    <t>January 15, April 1, October 1 OTHER DEADLINES
"The Conservation program supports the professional practice of art conservation, especially as it relates to European art of the pre-modern era. Grants are awarded to projects that create and disseminate specialized knowledge, including archival projects, development and dissemination of scholarly databases, documentation projects, exhibitions and publications focusing on art conservation, scholarly publications, and technical and scientifi c studies.
Grants are also awarded for activities that permit conservators and conservation scientists to share their expertise with both professional colleagues and a broad audience through international exchanges, professional meetings, conferences, symposia, consultations, the presentation of research, exhibitions that include a prominent focus on materials and techniques, and other professional events."</t>
  </si>
  <si>
    <t>Women’s Caucus Editing and Translation Fellowship</t>
  </si>
  <si>
    <t>The ASECS Women’s Caucus Editing and Translation Fellowship, is an annual award of $1000 to support an editing or a translation work in progress of an eighteenth-century primary text on a feminist or a Women’s Studies subject. Editing and translation work of eighteenth-century texts in languages other than English are eligible. The award is open to all members of ASECS who have received a PhD. Proposals from Emeritae/i faculty that do not already have professional support for the project will also be considered. The award is meant to fund works in progress, commensurate in scope with a scholarly article-length project to a longer scholarly and/or a classroom edition with a strong scholarly basis for which research and work is well under way, rather than work that is already completed. 
To be eligible for the prize, projects must translate and/or edit works by eighteenth-century women writers or works that significantly advance our understanding of women’s experiences in the eighteenth century or offer a feminist analysis of any aspect of eighteenth-century culture and/or society. Projects typically fall within the period from 1660 to 1820.</t>
  </si>
  <si>
    <t>Collaborative Cluster Fellowships</t>
  </si>
  <si>
    <t>$500/week</t>
  </si>
  <si>
    <t>"The John Carter Brown Library seeks to encourage collaboration among scholars as they explore and shed light on the Library's collections by providing support for group projects. Collaborative Cluster Fellowships are meant to expand the disciplinary scope of research at the Library and support cutting-edge research methods."</t>
  </si>
  <si>
    <t>$45,000/ 9 months</t>
  </si>
  <si>
    <t>"The Margaret Henry Dabney Penick Resident Scholar Program supports scholarly research into the legacy of Patrick Henry and his political circle, the early political history of Virginia, the history of the American Revolution, founding era ideas and policy-making, as well as science, technology, and culture in colonial America and the Early National Period.... Senior scholars are particularly encouraged to apply, but all applicants must hold a PhD to be awarded the fellowship."</t>
  </si>
  <si>
    <t>Bogliasco Foundation</t>
  </si>
  <si>
    <t>Bogiliasco Fellowships</t>
  </si>
  <si>
    <t>Arts &amp; Humanities
Creative Arts</t>
  </si>
  <si>
    <t>room, board, studio space for a month</t>
  </si>
  <si>
    <t>In Bogliasco, Italy
“Bogliasco Fellowships are awarded to gifted individuals working in all the disciplines of the Arts and Humanities without regard to nationality, age, race, religion or gender.
To be eligible for the award of a Fellowship, applicants should demonstrate significant achievement in their disciplines, commensurate with their age and experience.... The Foundation gives preference to those whose applications suggest that they would be comfortable working in an intimate, international, multilingual community of scholars and artists.”</t>
  </si>
  <si>
    <t>Creative Arts</t>
  </si>
  <si>
    <t>"MacDowell encourages applications from artists representing the widest possible range of perspectives and demographics. Emerging and established artists may apply in the following disciplines: architecture, film/video arts, interdisciplinary arts, literature, music composition, theatre, and visual arts."</t>
  </si>
  <si>
    <t>Established</t>
  </si>
  <si>
    <t>$35,000
3 year appointment</t>
  </si>
  <si>
    <t>"The Malcolm H. Wiener Laboratory for Archaeological Science provides funding for scholars pursuing interdisciplinary research on archaeological questions pertaining to the ancient Greek world and adjacent areas.... Priority will be given to question-driven research projects that address substantive problems through the application of interdisciplinary methods in the archaeological sciences. Laboratory facilities are especially well equipped to support the study of human skeletal biology, archaeobiological remains (faunal and botanical), environmental studies, and geoarchaeology (particularly studies in human-landscape interactions and the study of site formation processes). Research projects utilizing other archaeological scientific approaches are also eligible for consideration, depending on the strength of the questions asked and the suitability of the plan for access to other equipment or resources not available on site."</t>
  </si>
  <si>
    <t xml:space="preserve">Harvard Ukrainian Research Institute </t>
  </si>
  <si>
    <t>Language and Area Studies
Eastern Europe &amp; former Soviet Union</t>
  </si>
  <si>
    <t>$5,000/month plus travel</t>
  </si>
  <si>
    <t>“is designed to bring senior scholars to Harvard University for a period of five months for focused research in Ukrainian history, literature, philology, culture, and other related areas of study in the humanities and social sciences fields. While in residence, the Jacyk Distinguished Fellow will use the University's unique resources to work on significant and innovative projects in Ukrainian studies, and in general to further his or her professional development. In addition, the Jacyk Distinguished Fellow will preside over the Petro Jacyk Seminar in Ukrainian Studies: a forum presented as part of the HURI Seminar Series in Ukrainian Studies.”</t>
  </si>
  <si>
    <t>HURI/Ukrainian Studies Research Fellowships</t>
  </si>
  <si>
    <t>8-10 years postdoc especially encouraged to apply</t>
  </si>
  <si>
    <t>$4,400/month plus travel</t>
  </si>
  <si>
    <t xml:space="preserve">The Institute's Research Fellowships “bring scholars from the international academic community to Harvard for focused research on projects in Ukrainian history, literature, philology, culture, and other related areas of study in the humanities and social sciences fields. In addition to carrying out their own research in residence, fellows participate in the scholarly life of the University during Harvard's academic year, and offer a formal presentation based on original research.”  </t>
  </si>
  <si>
    <t>&lt;3 years postdoc</t>
  </si>
  <si>
    <t>$1,500/month</t>
  </si>
  <si>
    <t>"The Society for French Historical Studies offers two research fellowships (up to $1,500 per award) for maintenance during research in France for a period of at least one month.... These awards are not for travel to or from France.  The proposed fields for research can include all areas of French historical and cultural studies."</t>
  </si>
  <si>
    <t xml:space="preserve"> monthly per diem commensurate with academic status that 
provides for round-trip economy airfare.</t>
  </si>
  <si>
    <t>Available to American postdoctoral scholars, faculty and senior scholars worldwide with a minimum stay of four months and maximum stay of 10 months.</t>
  </si>
  <si>
    <t>American Physical Society</t>
  </si>
  <si>
    <t>Congressional Science Fellowships</t>
  </si>
  <si>
    <t>"Fellowships are for one year, usually running September through August. Following a two-week orientation in Washington sponsored by the American Association for the Advancement of Science, incoming Congressional Fellows become acquainted with most aspects of their future work environment. Following interviews on the Hill, Fellows choose a congressional office — personal or committee staff — where they wish to serve. Fellows are expected to be capable of handling varied assignments, both technical and non-technical.
The Program's popularity with Members of Congress continues to grow. Typically, 150-200 congressional offices express interest in the 200-300 fellows who participate in the AAAS fellowship program. Former fellows express enthusiasm in their evaluations, and many elect to stay in the public policy arena; it is not unusual to find former fellows in influential positions in Washington."</t>
  </si>
  <si>
    <t>Institute for Advanced Study</t>
  </si>
  <si>
    <t>Park City Mathematics Institute Summer Research Session</t>
  </si>
  <si>
    <t>programming
summer</t>
  </si>
  <si>
    <t xml:space="preserve">“Complementing the highly structured Graduate Summer School, which is directed at younger mathematicians, the Research Program in Mathematics addresses the needs of mathematicians who are already carrying out research. The program offers advanced scholars the opportunity to do research, collaborate with their peers, meet outstanding students, and explore new teaching ideas with professional educators.
New and recent PhDs are especially encouraged to apply if they are working in the central field of harmonic analysis or its applications to geometry, partial differential equations, probability, and number theory. Small groups of collaborators from geographically separate areas are also encouraged to apply. The informal format of the Research Program generates lively exchanges of views and information between established and newer researchers.“  </t>
  </si>
  <si>
    <t>&lt;5 years postdoc</t>
  </si>
  <si>
    <t>"To support studies undertaken at the American School of Classical Studies at Athens, Greece for no more than a year."</t>
  </si>
  <si>
    <t xml:space="preserve">“The Center would like to enhance its efforts to support analytic and methodological research in support of its surveys, and to engage in the education and training of researchers in the use of large-scale nationally representative datasets.  NCSES welcomes efforts by the research community to use NCSES data for research on the science and technology enterprise, to develop improved survey methodologies for NCSES surveys, to create and improve indicators of S&amp;T activities and resources, and strengthen methodologies to analyze and disseminate S&amp;T statistical data. To that end, NCSES invites proposals for individual or multi-investigator research projects, doctoral dissertation improvement awards, workshops, experimental research, survey research and data collection and dissemination projects under its program for Research on the Science and Technology Enterprise:  Statistics and Surveys.”  </t>
  </si>
  <si>
    <t>Kauffman Junior</t>
  </si>
  <si>
    <t xml:space="preserve">Faculty Fellowship </t>
  </si>
  <si>
    <t>$35,000/3 years</t>
  </si>
  <si>
    <t>Nominations due 1/16/18; applications due 3/12/18
"The Kauffman Foundation established the Kauffman Junior Faculty Fellowship in Entrepreneurship Research in 2008 to recognize tenured or tenure-track junior faculty members at accredited U.S. universities who are beginning to establish a record of scholarship and exhibit the potential to make significant contributions to the body of research in the field of entrepreneurship."</t>
  </si>
  <si>
    <t xml:space="preserve">Cultural Anthropology, Research Experience for Undergraduates </t>
  </si>
  <si>
    <t>Annual Deadline</t>
  </si>
  <si>
    <t>Supplemental Target Date</t>
  </si>
  <si>
    <t>Language and Area Studies
Africa &amp; African American</t>
  </si>
  <si>
    <t>one or two semesters</t>
  </si>
  <si>
    <t>"The Fellows Program is at the heart of the activities of the W. E. B. Du Bois Research Institute. Started in 1975 as the W. E. B. Du Bois Institute for African and African American Research, the Institute has annually appointed scholars who conduct individual research for a period of one to two semesters in a wide variety of fields related to African and African American Studies."</t>
  </si>
  <si>
    <t>Social Psychology</t>
  </si>
  <si>
    <t xml:space="preserve">July 16, 2018 
“The Social Psychology Program at NSF supports basic research on human social behavior, including cultural differences and development over the life span. 
Among the many research topics supported are: attitude formation and change, social cognition, personality processes, interpersonal relations and group processes, the self, emotion, social comparison and social influence, and the psychophysiological and neurophysiological bases of social behavior.”
</t>
  </si>
  <si>
    <t>American Political Science Association</t>
  </si>
  <si>
    <t>Robert L. Jervis and Pail Schroeder Best Book Award</t>
  </si>
  <si>
    <t>SocSci
Political Science</t>
  </si>
  <si>
    <t xml:space="preserve">26 awards “Recognizing excellence in the profession is one of the most important roles of the American Political Science Association.  Through the service of member committees who review nominations, the Association makes awards for the best dissertations, papers and articles, and books in the various subfields of the discipline, and for career achievement in research, teaching and service to the discipline.  These awards are presented at the APSA Annual Meeting.”  </t>
  </si>
  <si>
    <t>$6,000-$9,000</t>
  </si>
  <si>
    <t>"The Palestinian American Research Center (PARC) announces its 19th annual U.S. research fellowship competition for doctoral students or scholars who have earned their PhD and whose research will contribute to Palestinian studies. Research must take place in Palestine, Israel, Jordan, or Lebanon."</t>
  </si>
  <si>
    <t>American Voices and the U.S. State Department</t>
  </si>
  <si>
    <t>Creative Arts
Music</t>
  </si>
  <si>
    <t>programming
travel</t>
  </si>
  <si>
    <t>$200/day honorarium plus per diem for food and lodging</t>
  </si>
  <si>
    <t>"American Voices is proud to administer the American Music Abroad program on behalf of the United States Department of State's Bureau of Educational and Cultural Affairs. The American Music Abroad program is designed to communicate America's rich musical contributions to the global music scene as it fosters cross-cultural communication and people-to-people connection to global audiences. Any characteristically American musical genres are welcome to apply in genres including but not limited to: Blues, Bluegrass, Cajun, Country, Folk, Latin, Native American, Gospel, Hip Hop/Urban, Indie Rock, Jazz, Punk, R&amp;B and Zydeco. In cooperation with the U.S. Department of State, American Voices will arrange a series of month-long, multi-country cultural exchange programs including public concerts, interactive performances with local traditional musicians, lecture demonstrations, workshops, jam sessions and media interviews and performances."</t>
  </si>
  <si>
    <t>Virginia Historical Society</t>
  </si>
  <si>
    <t>Research Fellowship and Award</t>
  </si>
  <si>
    <t>Arts &amp; Humanities
Gender studies</t>
  </si>
  <si>
    <t>"To promote the interpretation of Virginia history and access to its collections, the Virginia Historical Society, funded by a matching grant from the Andrew W. Mellon Foundation and gifts from individuals, offers fellowships of up to three weeks a year....
There are three general categories of fellowships:
Andrew W. Mellon Research Fellowships cover the broad sweep of Virginia and American history, for example, supporting research on political, constitutional, religious, African American, military, and social issues.
The Betty Sams Christian Fellowships in business history cover studies in economic history, trade, industrial and commercial subjects, and labor relations.
The Frances Lewis Fellowships in Gender and Women's Studies support work in gender roles and the history of women."</t>
  </si>
  <si>
    <t xml:space="preserve"> </t>
  </si>
  <si>
    <t>Science of Organizations</t>
  </si>
  <si>
    <t>Annual deadline</t>
  </si>
  <si>
    <t>Council of American Overseas Research Centers</t>
  </si>
  <si>
    <t>Language and Area Studies</t>
  </si>
  <si>
    <t>&lt;10 years postdoc 
early career</t>
  </si>
  <si>
    <t>"This fellowship supports advanced research in the humanities for U.S. postdoctoral scholars, and foreign national postdoctoral scholars who have been residents in the US for three or more years.
Scholars must carry out research in a country which hosts a participating American overseas research center. Eligible countries for 2017-2018 are: Algeria, Armenia, Azerbaijan, Cambodia, Cyprus, Georgia, Indonesia, Mexico, Mongolia, Morocco, Nepal, Senegal, Sri Lanka or Tunisia. Fellowship stipends are $4,200 per month for a maximum of four months. This program is funded by the National Endowment for the Humanities (NEH) under the Fellowship Programs at Independent Research Institutions (FPIRI)."</t>
  </si>
  <si>
    <t>Fellowship on-site</t>
  </si>
  <si>
    <t>&lt;$10,500</t>
  </si>
  <si>
    <t>"The Council of American Overseas Research Centers Multi-Country Research Fellowship Program supports advanced regional or trans-regional research in the humanities, social sciences, or allied natural sciences for U.S. doctoral candidates and scholars who have already earned their Ph.D. Preference will be given to candidates examining comparative and/or cross-regional research. Scholars must carry out research for a minimum of 90 days in two or more countries outside the United States, at least one of which hosts a participating American overseas research center. Funding is provided by the State Department's Bureau of Educational and Cultural Affairs."</t>
  </si>
  <si>
    <t>Research Grant</t>
  </si>
  <si>
    <t>Language and Area Studies
Africa</t>
  </si>
  <si>
    <t>"The American Institute for Maghrib Studies (AIMS) announces its annual Grants Program for the academic year beginning in May 2018. The program offers grants to U.S. scholars interested in conducting research on North Africa in any Maghrib country, specifically Algeria, Mauritania, Morocco, or Tunisia. AIMS sponsors three Overseas Research Centers in the region in Oran, Tunis and Tangier and has other institutional affiliations that support AIMS scholars. AIMS only funds primary research conducted in the Maghrib.”</t>
  </si>
  <si>
    <t>Chemical Heritage Foundation</t>
  </si>
  <si>
    <t>Sciences
History of science</t>
  </si>
  <si>
    <t>Postdoc</t>
  </si>
  <si>
    <t>$45,000/year for two years</t>
  </si>
  <si>
    <t>"The Beckman Center offers fellowships on an annual cycle for scholars doing research in the history and social studies of chemistry and related sciences, technologies, and industries. Fellows are expected to participate in biweekly informal writing groups and give at least one lunchtime lecture. They also have the opportunity to take part in a variety of outreach activities while in residence at CHF. About 20 fellowships are given out annually, making the Beckman Center the largest private fellowship program in the history of science in the United States."</t>
  </si>
  <si>
    <t>Collaboration Grants for Mathematics</t>
  </si>
  <si>
    <t>research collaboration</t>
  </si>
  <si>
    <t xml:space="preserve">“The goal of the program is to support the “mathematical marketplace” by substantially increasing collaborative contacts between mathematicians. The foundation will make a large number of collaboration grants to accomplished, active researchers in the United States who do not otherwise have access to funding that allows support for travel and visitors…. Awards will be based on the quality and significance of the applicant’s previous research, as outlined in the Statement of Recent Work requirement below, and on the likely impact the collaboration grant will have on future research, both for the applicant and the applicant’s graduate students and/or postdoctoral fellows.”  </t>
  </si>
  <si>
    <t>A&amp;H
Creative Arts</t>
  </si>
  <si>
    <t>Fellowships travel</t>
  </si>
  <si>
    <t>"The Japan U.S. Friendship Commission offers leading contemporary and traditional artists from the United States the opportunity to spend three to five months in Japan through the U.S.-Japan Creative Artists Program.  Artists go as seekers, as cultural visionaries, and as living liaisons to the traditional and contemporary cultural life of Japan.  They also go as connectors who share knowledge and bring back knowledge. Their interaction with the Japanese public and the outlook they bring home provide exceptional opportunities to promote cultural understanding between the United States and Japan."</t>
  </si>
  <si>
    <t>"One- to two-month fellowships are available for Ph.D. candidates, holders of the Ph.D., and degreed independent scholars, within any field of study that requires using the collections of the APS Library." ... "The APS Library offers short-term residential fellowships for conducting research in its collections. We are a leading international center for research in the history of American science and technology and its European roots, as well as early American history and culture."</t>
  </si>
  <si>
    <t xml:space="preserve">Centre for Ethics at the University of Toronto  </t>
  </si>
  <si>
    <t>Visiting Faculty Fellowships</t>
  </si>
  <si>
    <t xml:space="preserve">The Centre for Ethics at the University of Toronto, an interdisciplinary centre aimed at advancing research and teaching in the field of ethics, broadly defined, welcomes applications from faculty at other universities and research institutes, regardless of discipline or field of study, who wish to spend the academic year as a Visiting Professor to conduct research related to the Centre’s mission “to bring together the theoretical and practical knowledge of diverse scholars, students, public servants and social leaders in order to increase understanding of the ethical dimensions of individual, social, and political life.” </t>
  </si>
  <si>
    <t xml:space="preserve">University of Cincinnati </t>
  </si>
  <si>
    <t xml:space="preserve">Tytus Fellowship Program </t>
  </si>
  <si>
    <t>$1,500 plus housing and transportation</t>
  </si>
  <si>
    <t>"Senior scholars are invited to apply for the Margo Tytus Visiting Scholars Program. Applicants for this program will ordinarily be a minimum of five years beyond receipt of the Ph.D., with notable publication histories. Tytus Scholars are expected to be in residence at the University of Cincinnati for a minimum of one semester (ca. four months) and a maximum of two during the regular academic year"</t>
  </si>
  <si>
    <t>University of Connecticut</t>
  </si>
  <si>
    <t>4+ years postdoc</t>
  </si>
  <si>
    <t>"UConn’s Humanities Fellowships are opportunities for individuals to pursue advanced work in the humanities. Projects may contribute to scholarly knowledge or to the general public’s understanding of the humanities. Recipients are expected to produce scholarly articles, a monograph on a specialized subject, a book on a broad topic, an archaeological site report, a translation, an edition, or other scholarly tools."
Storrs, CT</t>
  </si>
  <si>
    <t>monthly stipend, housing, work space</t>
  </si>
  <si>
    <t>DEADLINE for VISUAL ARTISTS is 2/1, WRITERS is 12/1
"The Fine Arts Work Center offers a unique residency for writers and visual artists in the crucial early stages of their careers. Located in Provincetown, Massachusetts, an area with a long history as an arts colony, the Work Center provides seven-month Fellowships to twenty Fellows each year in the form of living/work space and a modest monthly stipend. Residencies run from October 1 through April 30. Fellows have the opportunity to pursue their work independently in a diverse and supportive community of peers."</t>
  </si>
  <si>
    <t>Fellowship
research</t>
  </si>
  <si>
    <t>"one award of six months for post-doctoral scholars at the institute in Amman through the National Endowment for the Humanities (NEH). The fellowship supports research in the humanities and disciplines of the social sciences that have humanistic content and employ humanistic methods. Fields of research include modern and classical languages, linguistics, literature, history, jurisprudence, philosophy, archaeology, comparative religion, ethics, and the history, criticism, and theory of the arts. Social and political scientists are encouraged to apply. Research topics should contribute to scholarship in Near Eastern studies."</t>
  </si>
  <si>
    <t>$2,000-$5,000</t>
  </si>
  <si>
    <t>The Northeast Asia Council (NEAC) of the Association for Asian Studies, in conjunction with the Japan-US Friendship Commission, supports a variety of grant programs in Japanese studies designed to facilitate the research of individual scholars, to improve the quality of teaching about Japan on both the college and precollege levels, and to integrate the study of Japan into the major academic disciplines in the United States.</t>
  </si>
  <si>
    <t>$1,500-$5,000</t>
  </si>
  <si>
    <t>The Northeast Asia Council of the Association for Asian Studies (NEAC), in conjunction with the Korea Foundation, offers a grant program in Korean studies designed to assist the research of individual scholars based in North America to improve the quality of teaching about Korea on both the college and precollege levels, and to integrate the study of Korea into the major academic disciplines.</t>
  </si>
  <si>
    <t>Language and Area Studies
Latin America</t>
  </si>
  <si>
    <t>$25,000 for one or two semesters plus up to $3,000 in travel expenses</t>
  </si>
  <si>
    <t>Each year the David Rockefeller Center for Latin American Studies (DRCLAS) selects a number of distinguished academics (Visiting Scholars) and professionals (Fellows) who wish spend one or two semesters at Harvard working on their own research and writing projects. Visiting Scholars and Fellows are selected competitively on the basis of the applicant's qualifications, the quality of the applicant's research plans, and the relevance of both to the Center's mission and objectives..</t>
  </si>
  <si>
    <t>Behavior Research Foundation</t>
  </si>
  <si>
    <t>NARSAD Young Investigator Grants, Brain and Behavior Research Foundation</t>
  </si>
  <si>
    <t>Searle Scholar Program</t>
  </si>
  <si>
    <t>Searle Scholars Program</t>
  </si>
  <si>
    <t>$300,000/3 years</t>
  </si>
  <si>
    <t xml:space="preserve">Searle Grants support research in medicine, chemistry, and the biological sciences. “The Searle Scholars Program is a limited submission award program which makes grants to selected academic and research institutions to support the independent research of outstanding early-career scientists who have recently been appointed as assistant professors on a tenure-track appointment. Grants are $300,000 for a three-year term with $100,000 payable each year of the grant, subject to the receipt of acceptable progress reports. Generally, the program makes 15 new grants annually.”  </t>
  </si>
  <si>
    <t>Sciences
Biomedical</t>
  </si>
  <si>
    <t>travel</t>
  </si>
  <si>
    <t>"Grants must be used for domestic or international travel to another lab to learn new research techniques or begin or continue a collaboration to address biomedical questions.  All proposals must be cross-disciplinary.  Applicants with a doctoral degree in the physical, mathematical, or engineering sciences working on a biological problem are encouraged to apply.  Conversely, proposals from biological scientists who desire to collaborate with a physical scientist, mathematician, or engineer are also encouraged to apply."</t>
  </si>
  <si>
    <t>Columbia Center for Social Difference</t>
  </si>
  <si>
    <t>Research Project Funding</t>
  </si>
  <si>
    <t>$35,000 over two years</t>
  </si>
  <si>
    <t>CSSD brings together faculty in humanities, law, social sciences, medicine and the arts, as well as artists and practitioners in the New York area and beyond, to investigate problems of social, economic, and cultural inequality. The Center’s working groups challenge the disciplinary divides among the humanities, the arts, and the social sciences by asking not only how historical categories of social difference intersect on the level of identity, but also how these categories shape institutions, modes of knowing, acts of representation, and processes of globalization. Funding is in the amount of $35,000 over two years with the possibility of $15,000 for a third year, contingent on working group interest and the availability of Center funds. CSSD seeks projects that align with the mission of “Women Creating Change” or “Imagining Justice” and favors proposals from an interdisciplinary core working group (usually 5-8 people, not all of whom need be affiliated with Columbia or Barnard). The Center encourages and facilitates international collaborations. Center support is seed money to enable working groups to get off the ground; it is the expectation of the Center that all projects will also seek additional funding.</t>
  </si>
  <si>
    <t>Spencer Foundation</t>
  </si>
  <si>
    <t>New Civics Small Grant Program</t>
  </si>
  <si>
    <t>Social Sciences
Education</t>
  </si>
  <si>
    <t>Similar deadline annually, but confirm date on website
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t>
  </si>
  <si>
    <t>Richard C. MacDonald Iliad Endowment for Archaeological Research</t>
  </si>
  <si>
    <t>"This grant will be awarded to projects that support research at the historical site of Ancient Troy and sites in the wider region of Western Turkey during the third to first millennia B.C.E., or the regions that supply context to the study of Troy, including but not limited to Anatolia (modern Turkey), southeastern Europe, the Aegean and Crete during the third to first millennia B.C.E.
The grant may be used for the purchase of innovative technologies as part of the research, including but are not limited to remote sensing, geographic information systems (GIS), geophysical techniques, LiDAR, global positioning systems (GPS), and space imaging radar."</t>
  </si>
  <si>
    <t>American College Health Association</t>
  </si>
  <si>
    <t>FirstRisk Advisors Initiatives in College Mental/Behavioral Health Funding Opportunity</t>
  </si>
  <si>
    <t>Sciences
Health and Medicine
Psychology</t>
  </si>
  <si>
    <t>"With growing national concerns regarding the prevalence and complexity of mental and behavioral health issues among college students and the negative impact these disorders have on the health and safety of higher education communities, student retention, student learning/academic progress, and the human potential of students, funding sponsor FirstRisk Advisors, through the American College Health Foundation, is offering one annual $3,500 funding opportunity.
The FirstRisk Advisors Initiatives in College Mental/Behavioral Health Funding Opportunity is designed to fund the development of creative initiatives that address prevention, early intervention, and treatment for mental and behavioral health disorders among students. The goal of these initiatives is to reduce the risk of mental and behavioral illness and injury among college students and to enhance both individual and community health as a strategy to support student learning."</t>
  </si>
  <si>
    <t xml:space="preserve">Science, Technology, and Society </t>
  </si>
  <si>
    <t xml:space="preserve">August 3, 2018 OTHER DEADLINE
“The Science, Technology, and Society (STS) program supports research that uses historical, philosophical, and social scientific methods to investigate the intellectual, material, and social facets of the scientific, technological, engineering and mathematical (STEM) disciplines. It encompasses a broad spectrum of STS topics including interdisciplinary studies of ethics, equity, governance, and policy issues that are closely related to STEM disciplines, including medical science.” </t>
  </si>
  <si>
    <t>Harvard University Radcliffe Institute for Advanced Study</t>
  </si>
  <si>
    <t>General
Gender studies</t>
  </si>
  <si>
    <t>"The Schlesinger Library invites scholars who are conducting oral history interviews relevant to the history of women or gender in the United States to apply for support of up to $3,000.
This grant stipulates that the interviews take place in accordance with guidelines of the Oral History Association, that consent is obtained from interviewees for their words to be viewed by researchers worldwide, and that true copies or transcripts of the original recording of the oral interviews, as well as copies of the consent forms, be deposited in the Schlesinger Library upon completion."</t>
  </si>
  <si>
    <t>"The Schlesinger Library invites scholars and other serious researchers at any career stage beyond graduate school to apply for support for their work in our collections. Grants of up to $3,000 will be given on a competitive basis. Applicants must have a doctoral degree or equivalent research and writing experience. Priority will be given to those who have demonstrated research productivity and whose projects require use of materials available only at the Schlesinger Library. The awards may be used to cover travel and living expenses, photocopies or other reproductions, and other incidental research expenses, but not for the purchase of equipment or travel to other sites for research."</t>
  </si>
  <si>
    <t>R01 - Research Grants</t>
  </si>
  <si>
    <t>Renewal, Resubmit, Revision
"The Research Project Grant (R01) is the original and historically oldest grant mechanism used by NIH. The R01 provides support for health-related research and development based on the mission of the NIH…. [T]he R01 research plan proposed by the applicant must be related to the stated program interests of one or more of the NIH Institutes and Centers based on their missions.”</t>
  </si>
  <si>
    <t xml:space="preserve">Public Scholar Program </t>
  </si>
  <si>
    <t>General
Race studies
Gender studies</t>
  </si>
  <si>
    <t>"We welcome applications from scholars in the humanities. We are interested in research projects across the spectrum of the humanities that examine the origins, evolution, impact and legacy of race, difference, and the modern quest for civil and human rights. We also support research projects that examine race and ethnicity and its points of intersection with other identities and movements addressing differences along gender, class, religious, or sexual lines."</t>
  </si>
  <si>
    <t>Camille and Henry-Dreyfus Foundation</t>
  </si>
  <si>
    <t>"The Camille Dreyfus Teacher-Scholar Awards Program supports the research and teaching careers of talented young faculty in the chemical sciences. Based on institutional nominations, the program provides discretionary funding to faculty at an early stage in their careers. Criteria for selection include an independent body of scholarship attained in the early years of their appointment (see below), and a demonstrated commitment to education, signaling the promise of continuing outstanding contributions to both research and teaching."</t>
  </si>
  <si>
    <t>Science of Science and Innovation Policy</t>
  </si>
  <si>
    <t>"The Science of Science &amp; Innovation Policy (SciSIP) program supports research designed to advance the scientific basis of science and innovation policy. The program funds research to develop models, analytical tools, data and metrics that can be applied in the science policy decision making process and concern the use and allocation of scarce scientific resources. For example, research proposals may develop behavioral and analytical conceptualizations, frameworks or models that have applications across the broad array of science and innovation policy challenges. Proposals also may develop methodologies to analyze science, technology and innovation data, and to usefully convey that information to a variety of audiences. Proposals that create and improve science, engineering and innovation data, including the design of new metrics and indicators, particularly proposals that demonstrate the viability of collecting and analyzing data on knowledge generation and innovation in organizations, are encouraged."</t>
  </si>
  <si>
    <t>"The stakes of successful publishing by early career professors are more urgent than ever given the current state of higher education promotion and publishing. Responding to a glaring need in the field, the First Book Institute features workshops and presentations led by institute faculty aimed at assisting participants in transforming their book projects into ones that promise to make the most significant impact possible on the field and thus land them a publishing contract with a top university press.  Eight successful applicants will be awarded $1500 stipends to defray the costs of travel and lodging. 
Applications to the First Book Institute are invited from scholars working in any area or time period of American literary studies who hold a PhD and are in the process of writing their first book."</t>
  </si>
  <si>
    <t>&lt;$6,000</t>
  </si>
  <si>
    <t>"The Tensor Foundation has provided funding to support projects designed to encourage women from middle school, high school, college, or university levels to study and persist in mathematics. On behalf of the Tensor Foundation, the MAA encourages college, university, and secondary mathematics faculty (in conjunction with college or university faculty) and their institutions to submit proposals to the Tensor Women and Mathematics Program. Projects may replicate existing successful projects, adapt components of such projects, or be innovative. "</t>
  </si>
  <si>
    <t>Cognitive Neuroscience</t>
  </si>
  <si>
    <t xml:space="preserve">"The Cognitive Neuroscience Program seeks highly innovative proposals aimed at advancing a rigorous understanding of the neural mechanisms of human cognition. Central research topics for consideration by the program include attention, learning, memory, decision-making, language, social cognition, and emotions. Proposals with animal models are appropriate only if they include a comparative element with human subjects. Proposals focused on behavioral, clinical or molecular mechanisms will not be considered for this program."   </t>
  </si>
  <si>
    <t>Summer Seminars and Institutes</t>
  </si>
  <si>
    <t xml:space="preserve">A draft proposal may be due earlier.  Guidelines should be released two months before the deadline.  "NEH Summer Seminars and Institutes grants support professional development programs in the humanities for school teachers and for college and university faculty. Seminars and institutes may be as short as one week or as long as four weeks.
NEH Summer Seminars and Institutes
provide models of excellent teaching;
provide models of excellent scholarship;
broaden and deepen understanding of the humanities;
focus on the study and teaching of significant topics, texts, and other sources;
contribute to the intellectual vitality of participants; and
build communities of inquiry.
An NEH Summer Seminar or Institute may be hosted by a college, university, learned society, center for advanced study, library or other repository, cultural or professional organization, or school or school system. The host site must be suitable for the project, providing facilities for collegial interaction and scholarship. These programs are designed for a national audience of participants."  </t>
  </si>
  <si>
    <t>Wabash Center for Teaching and Learning in Theology and Religion</t>
  </si>
  <si>
    <t>Project Grants</t>
  </si>
  <si>
    <t>The Wabash Center understands its grant projects as learning processes. Thus, as in other learning processes, a particular grant will design moments of exploration, discovery, learning, and response for those participating in the grant project. In building a grant project, the project director should think of the presenting pedagogical issue as that which needs exploration and interrogation, and the activities of the grant project as the means by which this exploration is done. The design should have an appropriate scaffold to facilitate learning and critical reflection, with moments of assessment built into the design so changes can be made, if necessary. It should also have a time of evaluative reflection at the end to assess what was learned during the course of the project.</t>
  </si>
  <si>
    <t>7/12/18 OTHER DEADLINE
"The National Endowment for the Arts is committed to support activities that reflect the dynamic, diverse, and evolving nature of the media arts field. Applicants may apply in this Art Works category for media arts projects that support creation, exhibition, education, and distribution of historic and contemporary artworks in all genres and forms that use electronic media, film and technology (analog &amp; digital; old and new) as an artistic medium or a medium to broaden arts appreciation and awareness (of any discipline). All genres are welcome to apply; all phases of project support are eligible."
First deadline (2/15/18)--Eligible projects types include exhibition, presentation, distribution, and preservation activities.
Second deadline (7/12/18)--Eligible project types include creation, education, and resources for artistic and professional development.</t>
  </si>
  <si>
    <t xml:space="preserve">Vermont Studio Center </t>
  </si>
  <si>
    <t>Also June 15, October 1.
They accept general (non-fellowship) applications on a rolling basis.
"the largest international artists' and writers' residency program in the United States. Our mission is to provide studio residencies in an inclusive, international community, honoring creative work as the communication of spirit through form."
"We offer over 120 fellowships per year to artists and writers of outstanding talent. A fellowship covers the full cost of a VSC residency (some awards also include an additional stipend for travel/lost income/etc). 
At each of our three annual deadlines (February 15th, June 15th, and October 1st), our fellowship offerings change. In addition to some donor-driven awards with special eligibility requirements, there are always a number of general, merit-based VSC fellowships for which all applicants are considered."</t>
  </si>
  <si>
    <t>Research Travel Award</t>
  </si>
  <si>
    <t>"The Society for French Historical Studies and the Western Society for French History offer an annual award of $2,000 for research conducted outside North America on any aspect of the history of France. This award is granted to an outstanding American or Canadian scholar who has received the doctorate in history in the five-year period prior to the award (since January 2013 for the 2018 award)"</t>
  </si>
  <si>
    <t>Research Funds</t>
  </si>
  <si>
    <t>Language and Area Studies,
Anthropology</t>
  </si>
  <si>
    <t>$3,000-$9,000</t>
  </si>
  <si>
    <t xml:space="preserve">“The Jacobs Research Funds (JRF) and the Kinkade Language and Culture Fund (KLF) are sister organizations that fund linguistic and anthropological research on aboriginal peoples of North and South America. The JRF accepts proposals on behalf of both organizations. 
Priority is given to research on the Pacific Northwest. However, research in other areas of the Americas will be funded if possible. 
The JRF is affiliated with the Whatcom Museum in Bellingham, Washington.”   </t>
  </si>
  <si>
    <t>Klingenstein-Simons</t>
  </si>
  <si>
    <t>Fellowship Awards in the Neurosciences</t>
  </si>
  <si>
    <t>fellowship research</t>
  </si>
  <si>
    <t>$225,000/3 years</t>
  </si>
  <si>
    <t xml:space="preserve">“Aimed at advancing cutting-edge investigations, the awards are presented to highly promising, early career scientists. At this critical juncture in young investigators' careers, when funding can be a challenge, the fellowship awards promote higher-risk, and potentially higher-reward, projects.”  </t>
  </si>
  <si>
    <t>Ocean Technology and Interdisplinary Coordination</t>
  </si>
  <si>
    <t xml:space="preserve">“The Oceanographic Technology and Interdisciplinary Coordination (OTIC) Program supports a broad range of research and technology development activities. Unsolicited proposals are accepted for instrumentation development that has broad applicability to ocean science research projects and that enhance observational, experimental or analytical capabilities of the ocean science research community.”  </t>
  </si>
  <si>
    <t>Site Preservation Grant</t>
  </si>
  <si>
    <t>The Conservation and Site Preservation Committee is revising our Site Preservation Grant Program.  Therefore, we are not currently accepting grant inquiries.  Please check back in the fall of 2017 for more information.
"The AIA is targeting projects that not only seek to directly preserve archaeological sites, but those that also emphasize outreach, education, and/or best practices intended to create a positive impact on the local community, students, and the discipline of archaeology as a whole."</t>
  </si>
  <si>
    <t>R03, R21, R33, R34, R36 - Other Research Grants</t>
  </si>
  <si>
    <t>New</t>
  </si>
  <si>
    <t>Renewal, Resubmit, Revision</t>
  </si>
  <si>
    <t>$1,500,000/5 years</t>
  </si>
  <si>
    <t>"NYSCF is soliciting applications from early career investigators for Innovator Awards to be used for exploring the basic biology and translational potential of stem cells. The goal of this initiative is to foster bold and innovative scientists with the potential to transform the field of stem cell research, and advance understanding and use of stem cells in the development of treatments for human disease. In addition to providing funding, NYSCF partners with investigators to advance and translate their research."</t>
  </si>
  <si>
    <t>Sciences
Neuroscience</t>
  </si>
  <si>
    <t>"NYSCF is soliciting applications from early career investigators for Innovator awards in neuroscience. The goal of this initiative is to foster truly bold, innovative scientists with the potential to transform the field of neuroscience. Applicants are encouraged in the fundamental areas of developmental, cellular, cognitive, and translational neuroscience, broadly interpreted. Applicants need not be working in areas related to stem cells."</t>
  </si>
  <si>
    <t xml:space="preserve">“The American National Election Studies (ANES) produce high quality data from its own surveys on voting, public opinion, and political participation. The mission of the ANES is to inform explanations of election outcomes by providing data that support rich hypothesis testing, maximize methodological excellence, measure many variables, and promote comparisons across people, contexts, and time. The ANES serves this mission by providing researchers with a view of the political world through the eyes of ordinary citizens. 
The Political Science Program in the Directorate for Social, Behavioral and Economic Sciences expects to make two awards for the 2020 Presidential election cycle with the award to run from fiscal years 2018 to 2021. We anticipate that NSF will make two awards totaling no more than $11.5 million over four years. One will be for the traditional face-to-face survey. The second will be for a web-based survey. While these will be independent awards, the two awardees will be expected to work closely together. The expected start date is July 2018. “  </t>
  </si>
  <si>
    <t>Landmarks of American History and Culture Workshops for School Teachers</t>
  </si>
  <si>
    <t>dissemination</t>
  </si>
  <si>
    <t>The program was suspended for 2017.  "The goals of the workshops are to
increase knowledge and appreciation of subjects, ideas, and places significant to American history and culture through humanities reading and site study;
build communities of inquiry and provide models of civility and of excellent scholarship and teaching;
provide teachers with expertise in the use and interpretation of historical sites and of material and archival resources; and
foster interaction between K-12 educators and scholarly experts.
NEH Landmarks Workshops are academically rigorous and focus on primary sources and scholarly works relevant to major themes of American history and culture. Leading scholars should serve as lecturers or session leaders. Workshops should also enable participants to work with primary documents and develop a project."</t>
  </si>
  <si>
    <t>American Institute of Yemeni Studies</t>
  </si>
  <si>
    <t>fellowship</t>
  </si>
  <si>
    <t>post-graduate scholars in all disciplines</t>
  </si>
  <si>
    <t>Proposals are invited from graduate and post-graduate scholars in all disciplines. Collaborative or group projects are also invited. [there is a temporary federal ban on study in Yemen]</t>
  </si>
  <si>
    <t>STEM
Arts &amp; Humanities</t>
  </si>
  <si>
    <t>seed grant</t>
  </si>
  <si>
    <t>$1,500-$3,000</t>
  </si>
  <si>
    <t>The Center for Science and Society at Columbia University invites proposals for innovative interdisciplinary projects involving the study of science in society that need modest amounts of seed money to initiate collaborative research and programming. All full-time faculty, postdocs, graduate students and undergraduates at Columbia University and Barnard College are eligible, and proposals are welcomed especially from undergraduate and graduate students. Projects might include small research projects, support for a reading group, inviting a speaker, or a contribution towards developing a conference. Grants can be combined with any other funding held by the applicants.</t>
  </si>
  <si>
    <t>R15 - Academic Research Enhancement Award (AREA)</t>
  </si>
  <si>
    <t>Sciences
Engineering</t>
  </si>
  <si>
    <t xml:space="preserve">The foundation is looking to fund Programs designed to improve the retention rate of undergraduate women in engineering. These may cover such diverse areas as classroom, climate, learning behaviors, classroom pedagogies and academic and social support programs. It is expected that the programs will examine their impact on SMET achievement. </t>
  </si>
  <si>
    <t>Ucross Foundation</t>
  </si>
  <si>
    <t xml:space="preserve">Residency Program </t>
  </si>
  <si>
    <t>"The Ucross Foundation Residency Program offers the gift of time and space to competitively selected individuals working in all artistic disciplines.  The Foundation strives to provide a respectful, comfortable and productive environment, freeing artists from the pressures and distractions of daily life." Sheridan, Wyoming</t>
  </si>
  <si>
    <t>2.1.18</t>
  </si>
  <si>
    <t>$25,000-50,000</t>
  </si>
  <si>
    <t>"The Mellon Scholars Fellowship Program aims to promote research in the collections of the Library Company and to enhance the production of scholarly work in African American history of the 17th, 18th, and 19th centuries. Fellows are expected to conduct the majority of their research in the Library Company’s collections but may also use the collections of the Historical Society of Pennsylvania. Fellows must be in residence for the entire term of the award. All fellowship applications are due March 1, 2017, with a decision by April 15. The following research fellowships will be offered for 2017-2018:
Post-doctoral fellowship, with a stipend of $50,000, is tenable from September 1, 2017 through May 31, 2018. The award may be divided between two applicants, each of whom would receive $25,000 for the period September 1, 2017 to January 15, 2018 or January 15, 2018 to May 31, 2018. Recent recipients of the Ph.D. as well as senior scholars may apply, but applicants must hold a Ph.D. by September 1, 2017."</t>
  </si>
  <si>
    <t>"The Library Company of Philadelphia and The Historical Society of Pennsylvania will jointly award approximately twenty-five one-month fellowships for research in residence in either or both collections during the academic year 2017-2018. These two independent research libraries, adjacent to each other in Center City Philadelphia, have complementary collections capable of supporting research in a variety of fields and disciplines relating to the history of America and the Atlantic world from the 17th through the 19th centuries, as well as Mid-Atlantic regional history to the present."</t>
  </si>
  <si>
    <t>J.M. Kaplan Fund</t>
  </si>
  <si>
    <t>Furthermore Grants in Publishing</t>
  </si>
  <si>
    <t>&lt;$10,000</t>
  </si>
  <si>
    <t xml:space="preserve">9/1/18 OTHER DEADLINE
“The Furthermore program is concerned with nonfiction book publishing about the city; natural and historic resources; art, architecture, and design; cultural history; and civil liberties and other public issues of the day. Our grants apply to writing, research, editing, design, indexing, photography, illustration, and printing and binding.
We look for work that appeals to an informed general audience; gives evidence of high standards in editing, design, and production; promises a
reasonable shelf life; might not otherwise achieve top quality or even come into being; and represents a contribution without which we would be the poorer. Book proposals to which a university press or trade publisher is already committed and for which there is a feasible distribution plan are usually preferred. In geographical reach we are drawn — but in no way
limited — to New York City and to New York State and its Hudson Valley.”
</t>
  </si>
  <si>
    <t>12.4.17</t>
  </si>
  <si>
    <t>Arts &amp; Humanities
Creative Arts
Library</t>
  </si>
  <si>
    <t>$2,500/month for 1-3 months</t>
  </si>
  <si>
    <t>"In addition to being the world's largest Shakespeare collection, the Folger is home to major collections of other rare Renaissance books, manuscripts, and works of art. Located a block from the US Capitol, the Folger serves a wide audience of scholars, visitors, teachers, students, families, and theater- and concert-goers." ... "We welcome applications from archivists, creative artists, curators, librarians, performers, and playwrights whose research will benefit from focused engagement with the Folger collections."</t>
  </si>
  <si>
    <t xml:space="preserve">Baylor University Libraries </t>
  </si>
  <si>
    <t>Texas Collection Wardlaw Fellowship</t>
  </si>
  <si>
    <t>$1,000-1,500</t>
  </si>
  <si>
    <t>"Fellowships are awarded to scholars pursuing significant research and advanced studies in the area of Texas history, culture, and literature. The research must be completed at The Texas Collection" in Waco, TX. The Hillman Research Fellowship also stipulates research of “Baptist missions and educational institutions in Latin America utilizing collections deposited in The Texas Collection.”</t>
  </si>
  <si>
    <t>2.21.18</t>
  </si>
  <si>
    <t>International Institute for Asian Studies</t>
  </si>
  <si>
    <t>€2,000/month</t>
  </si>
  <si>
    <t>"IIAS is an institute that actively promotes innovative research and seeks the interconnection between academic disciplines. In doing so, we are particularly looking for researchers focusing on the three IIAS clusters 'Asian Cities', 'Asian Heritages' and 'Global Asia'. However some positions will be reserved for outstanding projects in any area outside of those listed. Applications that link to more than one field are also welcome."</t>
  </si>
  <si>
    <t>Wilson Center</t>
  </si>
  <si>
    <t>$4,000/month for three months</t>
  </si>
  <si>
    <t>9/1/18 OTHER DEADLINE
"The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 .... Title VIII  Scholarships (Research, Summer, and Short-term) are available to scholars who are U.S. Citizens; ... George F. Kennan and Billington Fellowships are not limited by citizenship."</t>
  </si>
  <si>
    <t xml:space="preserve"> R13, U13 Conference Grants and Conference Cooperative Agreements </t>
  </si>
  <si>
    <t>Permission to submit deadline = March 1, 2018 Deadline = April 12, 2018
"The NIH ICs each have different scientific missions, as well as program goals and initiatives that evolve over time. In order to promote the most efficient use of NIH funds towards meeting the mission and program goals of the ICs, each conference grant application is required to contain a permission-to-submit letter from one of the participating ICs (see IC Contact and Special Interests website).
Applicants are urged to initiate contact well in advance of the chosen application receipt date and no later than 6 weeks before that date. 
Applicants should inquire about IC-specific program priorities and policies in regards to conference grants.
Please note that agreement to accept an application does not guarantee funding."</t>
  </si>
  <si>
    <t>International Development Grant</t>
  </si>
  <si>
    <t>Sciences
Psychology</t>
  </si>
  <si>
    <t>"Two to four $1,000 International Development Grants will be distributed annually to persons or organizations interested in developing behavior analysis internationally. In order to promote behavior analysis on a worldwide scale, we hope to increase opportunities for people and organizations that do not have the necessary resources to expand important information and knowledge."</t>
  </si>
  <si>
    <t xml:space="preserve">American Psychological Foundation </t>
  </si>
  <si>
    <t>Ezra Katz Rosen Fund</t>
  </si>
  <si>
    <t xml:space="preserve">Sciences
Psychology </t>
  </si>
  <si>
    <t>Research
Project</t>
  </si>
  <si>
    <t>$1,000-$50,000</t>
  </si>
  <si>
    <t>"The Esther Katz Rosen Fund was established in 1974 by a generous bequest intended to support '…activities related to the advancement and application of knowledge about gifted children.'
Rosen Fund grants:
Enable and enhance development of identified gifted and talented children and adolescents.Encourage promising psychologists to continue innovative research and programs in this area.
Support will be provided for activities on the advancement and application of knowledge related to identified gifted and talented children and adolescents, such as:
Research.Pilot projects.Research-based programs."</t>
  </si>
  <si>
    <t>APA Featured 2.1.18</t>
  </si>
  <si>
    <t>Open Society Foundations</t>
  </si>
  <si>
    <t>"For the current application round, the Open Society Fellowship invites proposals relevant to the following propositions:
Human rights are under siege everywhere. Why?
Those who carry out human rights analysis and reporting have been seduced by legal frameworks and largely ignore imbalances of power that lead to rights violations.
Political leaders increasingly play on fears that human rights are a Trojan Horse, threatening societies by promising rights to dangerous “others.”
These statements are intended as a provocation—to stimulate productive controversy and debate"
"Ideal fellows are specialists who can see beyond the parochialisms of their field and possess the tenacity to complete a project of exceptional merit. Proposals will be accepted from anywhere in the world, although demonstrable proficiency in spoken and written English is required. Applicants should possess and demonstrate a deep understanding of the major themes embedded within the statement for which they wish to apply and be willing to serve in a cohort of fellows with diverse occupational, geographic, and ideological profiles. Successful applicants should be eager to exploit the many resources offered by the Open Society Foundations and be prepared to engage constructively with our global network."</t>
  </si>
  <si>
    <t>Publication</t>
  </si>
  <si>
    <t>11/1/18 OTHER DEADLINE
"funds publication preparation, or research leading to publication, undertaken by professional members of the AIA. Its purpose is to assist scholars in preparing, completing and publishing results of their research in Graeco-Roman Art and Architecture, and the broader Mediterranean world of Classical antiquity. Awards may be used for research leading to the publication of an art historical monograph or for costs associated with publication, such as image licensing."</t>
  </si>
  <si>
    <t>Kettering Foundation</t>
  </si>
  <si>
    <t>salary and travel</t>
  </si>
  <si>
    <t>10/1/18 OTHER DEADLINE
"The Kettering Foundation invites journalists and scholars of journalism from around the world to spend up to six months working with us in Dayton, Ohio, to explore the role of journalism in a democratic society and the obligations of journalists to democratic public life. While at the foundation, residents are expected to work with Kettering’s staff on the foundation’s ongoing research in this area. Work will include literature reviews related to the foundation’s program areas, exploration of the role of a deliberative public in the political work of communities domestically and internationally, and participation in workshops and other meetings related to the foundation’s research."
Dayton, Ohio</t>
  </si>
  <si>
    <t>"The American Philosophical Society offers fellowships to scholars working to interpret archival materials through emerging technologies." ... "Scholars, including graduate students, at any stage of their career may apply. Special consideration will be given to proposals that present APS Library holdings in new and engaging ways. Examples include (but are not limited to) projects that incorporate timelines, text analytics, network graphs, and maps."</t>
  </si>
  <si>
    <t>Mid Atlantic Arts Foundation</t>
  </si>
  <si>
    <t>$1,000-$10,000</t>
  </si>
  <si>
    <t>"ArtsCONNECT provides funding for mid-Atlantic-based presenters (New Jersey, Delaware, Maryland) working collaboratively to engage a performing artist or ensemble. The program aims to develop and deepen relationships among the region’s presenters, helping build a more sustainable touring environment for artists and ensembles. The supported tours include performances as well as community engagement activities that enhance the performance experience, and offer meaningful exchanges between touring artists and a presenter’s community.
The program provides support for projects in which at least three performing arts presenters from two different states work collaboratively to present a touring solo artist or ensemble. The tours include performances as well as activities such as artist discussions, lecture demonstrations, master classes, and workshops designed to build greater appreciation for the work of the touring artist or ensemble. The program also is designed to develop and deepen relationships among the regions presenters in order to build a more sustainable touring environment for professional performing artists."</t>
  </si>
  <si>
    <t>11/1/18 OTHER DEADLINE
"This program offers subventions from the AIA’s von Bothmer Publication Fund in support of new book-length publications in the field of Classical Archaeology (defined as Greek, Roman, and Etruscan archaeology and art history). Particularly welcome are projects that publish the work of first-time authors or represent the publication of final reports of primary data from sites already excavated or surveyed, but are still unpublished."</t>
  </si>
  <si>
    <t>"Today, Knight Foundation is opening a call for ideas focused on this issue. It centers around a question:
How might cultural institutions use technology to connect people to the arts?
Through this call for ideas, run through the Knight Prototype Fund, we hope to discover thoughtful approaches for the use of technology in the cultural sector....
Anyone can apply for funding. You don’t have to be associated with a cultural institution or organization. We’re genre-agnostic too. We’d love to see ideas across the performing, literary and visual arts. It’s all part of our arts technology initiative, which aims to help arts institutions better meet changing audience expectations and use digital tools to help people experience the arts"</t>
  </si>
  <si>
    <t>"The National Endowment for the Arts Literature Fellowships program offers $25,000 grants in prose (fiction and creative nonfiction) and poetry to published creative writers that enable the recipients to set aside time for writing, research, travel, and general career advancement.
The National Endowment for the Arts Literature Fellowships program operates on a two-year cycle with fellowships in prose and poetry available in alternating years."</t>
  </si>
  <si>
    <t>1.8.18
12/4/17--News</t>
  </si>
  <si>
    <t>Kauffman Foundation</t>
  </si>
  <si>
    <t>"The Kauffman Foundation established the Kauffman Junior Faculty Fellowship in Entrepreneurship Research in 2008 to recognize tenured or tenure-track junior faculty members at accredited U.S. universities who are beginning to establish a record of scholarship and exhibit the potential to make significant contributions to the body of research in the field of entrepreneurship."</t>
  </si>
  <si>
    <t xml:space="preserve">Institutes for Advanced Topics in the Digital Humanities </t>
  </si>
  <si>
    <t>"The Institutes for Advanced Topics in the Digital Humanities program supports national or regional (multistate) training programs for scholars, humanities professionals, and advanced graduate students to broaden and extend their knowledge of digital humanities. Through this program NEH seeks to increase the number of humanities scholars and practitioners using digital technology in their research and to broadly disseminate knowledge about advanced technology tools and methodologies relevant to the humanities.
The projects may be a single opportunity or offered multiple times to different audiences. Institutes may be as short as a few days and held at multiple locations or as long as six weeks at a single site. For example, training opportunities could be offered before or after regularly occurring scholarly meetings, during the summer months, or during appropriate times of the academic year. The duration of a program should allow for full and thorough treatment of the topic.
These professional development programs may focus on a particular computational method, such as network or spatial analysis. They may also target the needs of a particular humanities discipline or audience."</t>
  </si>
  <si>
    <t>$50,000~</t>
  </si>
  <si>
    <t>"As one of the world’s largest funding sources for animal health research, we are proud of our long tradition of supporting some of the most innovative researchers advancing the health of more species in more places than any other organization. To date, we have invested over $118 million. Our research program accepts proposals in three overarching areas:
Small companion animal (cats, dogs) – in March
Large companion animal (equine species, camelids) -  in July
Wildlife (including reptiles, amphibians, exotic pets) - in November"
 There is no limit to budget.  The average grants is $50,000.</t>
  </si>
  <si>
    <t>Sontag Foundation</t>
  </si>
  <si>
    <t>Brain Cancer Research Distinguished Scientist Awards</t>
  </si>
  <si>
    <t xml:space="preserve">St. Olaf College </t>
  </si>
  <si>
    <t>Arts and Humanities</t>
  </si>
  <si>
    <t>"The Kierkegaard Library offers unpaid research fellowships to serious scholars for two to eight weeks in duration during the months of June and July. Acceptance includes extensive access to the Kierkegaard Library and the opportunity to use the other libraries and facilities of St. Olaf College. Free housing on campus is provided; all other costs are the responsibility of the scholar. Participants of the program include students at graduate level and seasoned scholars. Advanced undergraduates are encouraged to apply to the Young Scholars Program.
The program entitles scholars to use the resources of the Kierkegaard Library while attending required activities that include: attend guest lectures, peer presentations, and participate in scholar seminars twice a week. The atmosphere encourages sharing of academic thoughts and opinions in relation to Kierkegaard’s writing and ideals."</t>
  </si>
  <si>
    <t>John and Polly Sparks Early Career Grant</t>
  </si>
  <si>
    <t>Featured APA 2.1.18</t>
  </si>
  <si>
    <t>Gerald R. Ford Presidential Foundation</t>
  </si>
  <si>
    <t>Research Travel Grants Program</t>
  </si>
  <si>
    <t>travel grant</t>
  </si>
  <si>
    <t>"The Gerald R. Ford Presidential Foundation awards grants of up to $2,200 each in support of research in the holdings of the Gerald R. Ford Library. A grant defrays travel and living expenses of a research trip to the Ford Library. Overseas applicants are welcome to apply, but they will be responsible for the costs of travel between their home country and North America. The grants only cover travel within North America. 
Library collections focus on Federal policies, U.S. foreign relations, and national politics in the 1960s and 1970s. There are earlier and later materials depending upon your topic."</t>
  </si>
  <si>
    <t xml:space="preserve">American Chemical Society </t>
  </si>
  <si>
    <t>$55,000/2 years</t>
  </si>
  <si>
    <t>“The Undergraduate Research (UR) grants program provides funding for scientists and engineers with established programs of research at non-doctoral departments. UR grants are used to illustrate proof of principle, i.e., feasibility, and accordingly, are to be viewed as seed money for generating preliminary results that can be used to apply for continuation funding from other agencies. Applicants may have limited or no preliminary results for a research project they wish to pursue.”</t>
  </si>
  <si>
    <r>
      <t>"Undergraduate New Investigator (UNI) grants provide funds for scientists and engineers who are beginning their independent careers in academia and have limited or no preliminary results for a research project they wish to pursue. The UNI grants are to be used to illustrate proof of principle, i.e., feasibility, and accordingly, are to be viewed as seed money for generating preliminary results that can be used to apply for continuation funding from other agencies.
Eligibility for a UNI grant requires that a PI is in a department without a doctoral program in the United States and that the students receiving stipends for the work to be done are undergraduates "  "shall use all funds exclusively for advanced scientific education and fundamental research in the ‘</t>
    </r>
    <r>
      <rPr>
        <b/>
        <sz val="11"/>
        <rFont val="Calibri"/>
      </rPr>
      <t>petroleum field</t>
    </r>
    <r>
      <rPr>
        <sz val="11"/>
        <color rgb="FF000000"/>
        <rFont val="Calibri"/>
      </rPr>
      <t>,’"</t>
    </r>
  </si>
  <si>
    <t>institutional support</t>
  </si>
  <si>
    <t>Also 6/22/18, a date in September and December.  "Each year the National Endowment for Democracy (NED) makes direct grants to hundreds of nongovernmental organizations worldwide working to advance democratic goals and strengthen democratic institutions."
"NED is interested in proposals from local, independent organizations for nonpartisan programs that seek to:
Promote and defend human rights and the rule of law
Support freedom of information and independent media
Strengthen democratic ideas and values
Promote accountability and transparency
Strengthen civil society organizations
Strengthen democratic political processes and institutions
Promote civic education
Support democratic conflict resolution
Promote freedom of association
Strengthen a broad-based market economy"</t>
  </si>
  <si>
    <t>12.19.17</t>
  </si>
  <si>
    <t>STEM
Arts &amp; Humanities
Social Science</t>
  </si>
  <si>
    <t>full-time faculty</t>
  </si>
  <si>
    <t>up to $30,000</t>
  </si>
  <si>
    <t>The PSSN Program will offer annual seed/pilot grants to enable collaboration between Columbia and Barnard faculty in the humanities, arts, or social sciences, and faculty in the natural sciences whose primary focus is the empirical study of mind, brain, and behavior.  This request for proposals is open to all full-time faculty at Columbia University and Barnard College that contribute to these interdisciplinary goals. Non-faculty applications may be reviewed on a case-by- case basis with at least one faculty member serving as co-investigator.</t>
  </si>
  <si>
    <t>Visiting Senior Fellowships</t>
  </si>
  <si>
    <t>$6,000-8,000 plus housing</t>
  </si>
  <si>
    <t>"Fellowships are for full-time research, and scholars are expected to reside in Washington and to participate in the activities of the Center throughout the fellowship period. Lectures, colloquia, and informal discussions complement the fellowship program....
Paul Mellon and Ailsa Mellon Bruce Visiting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Visiting senior fellowship applications are also solicited from scholars in other disciplines whose work examines artifacts or has implications for the analysis and criticism of visual form."</t>
  </si>
  <si>
    <t>£2,000</t>
  </si>
  <si>
    <t>"The Society will to consider providing up to £2,000 per year to support a visit by a foreign scholar actively working on French history to UK or Irish HE institutions. The objective is to foster international contact between scholars of the subject and the UK’s role within it. 
The scheme is open to bona fide scholars actively working at, or with a clearly defined relationship to, a recognised institute of higher education outside the UK.
The proposed host institution in the UK or the Irish Republic must demonstrate that it is committed to underwriting the essential costs of the visit in terms of the provision of office accommodation, academic support and, where appropriate, contributions to the costs of lodging and transport. 
Applicants themselves must show that they have a clear programme of research which will involve collaboration with scholars in the UK."</t>
  </si>
  <si>
    <t>Postdoctoral Fellowships</t>
  </si>
  <si>
    <t>Fellowship on site (most likely)</t>
  </si>
  <si>
    <t>&lt;5 years post doc</t>
  </si>
  <si>
    <t>€2111.09/month</t>
  </si>
  <si>
    <t>"The musée du quai Branly – Jacques Chirac offers every year doctoral and post-doctoral fellowships to support Ph.D. candidates and early career scholars in pursuing innovative research projects. 
The academic fields concerned are: anthropology, ethnomusicology, art history, history, archaeology, sociology, performance studies.
The research topics concerned are: Western and non-Western arts, material and immaterial heritage, museum institutions and their collections, technology, ritual performance and material culture.
The projects most likely to benefit from the environment of the musée du quai Branly – Jacques Chirac will be examined with particular attention....
Five postdoctoral fellowships are offered to early career scholars to collectively develop a one year research program on the theme “value and materialities”. Each of these terms must be understood in its broader sense to account for all their possible relations, the museum collection being one of its modalities."</t>
  </si>
  <si>
    <t>Memory and Cognitive Disorders Award</t>
  </si>
  <si>
    <t>"We are interested in proposals that address memory or cognition under normal and pathological conditions. This includes proposals that address mechanisms of memory or cognition at the synaptic, cellular, molecular, genetic or behavioral level in animals, including humans.We are particularly interested in proposals that incorporate fundamentally new approaches, as well as those that involve human experimentation. Collaborative and cross-disciplinary applications are encouraged."</t>
  </si>
  <si>
    <t>"The Community of Writers at Squaw Valley in Olympic Valley, CA has generously offered to provide tuition and room-and-board scholarships, valued at $1,565 each, to three Cave Canem fellows who wish to attend the Poetry Workshop June 24-July 1, 2017, and are in need of financial aid."</t>
  </si>
  <si>
    <t>various</t>
  </si>
  <si>
    <t>Not specified</t>
  </si>
  <si>
    <t xml:space="preserve">“The Institute of Turkish Studies (ITS) will offer grants and fellowships in the field of Ottoman and Modern Turkish Studies to graduate students, post-doctoral scholars, universities, and other educational institutions through its Grants Program for the 2018-2019 academic year. The annual budget for the Grants Program has been significantly expanded and ITS encourages qualified applicants to apply for its grants:”
* Grants for the Publication of Scholarly Books and Journals to cover part of the publication costs of scholarly books and journals in the field of Turkish Studies to be published in the U.S. 
* Teaching Aids Grants for the development of instructional materials in the field of Turkish Studies, such as language teaching materials, maps, slides, etc.
* The Institute of Turkish Studies (ITS) invites scholars with research interests in Turkey currently employed by institutes of higher education in the United States to submit proposals to host an academic conference in conjunction with ITS.”  </t>
  </si>
  <si>
    <t>Environmental Science</t>
  </si>
  <si>
    <t>initiatives</t>
  </si>
  <si>
    <t>$5,000-$25,000</t>
  </si>
  <si>
    <t xml:space="preserve">The mission of the Horne Family Foundation is “First, to preserve and maintain the legacy of the Horne Family in Massachusetts’ Greater Merrimack Valley and southern New Hampshire regions by supporting various community efforts that specifically relate to Human Services, Environment and Wildlife.
Secondly, the Foundation seeks to broaden its impact by supporting national initiatives aimed at the Environment, Wildlife Preservation and Animal Welfare.” </t>
  </si>
  <si>
    <t>Global Grand Challenges</t>
  </si>
  <si>
    <t>Grants</t>
  </si>
  <si>
    <t>research in technology</t>
  </si>
  <si>
    <t>"The Grand Challenges family of initiatives fosters innovation to solve key health and development problems."  Grand Challenges support research into technological and data science solutions to global problems in health and economic development.</t>
  </si>
  <si>
    <t>John Templeton Foundation</t>
  </si>
  <si>
    <t>Academic Cross-Training Fellowship</t>
  </si>
  <si>
    <t>&lt;$217,400 for up to 3 years</t>
  </si>
  <si>
    <t>"Fellowship program is intended to equip recently tenured philosophers and theologians with the skills and knowledge needed to study Big Questions that require substantive and high-level engagement with empirical science.
Each ACT Fellowship will provide up to $217,400 for up to 3 contiguous years of support for a systematic and sustained course of study in an empirical science such as physics, psychology, biology, genetics, cognitive science, neuroscience, or sociology. Acceptable courses of study might range from a plan to audit undergraduate and graduate-level courses to a plan to earn a degree in an empirical science. Fellows may undertake their study at their home institution or another institution. All fellows must have a faculty mentor in their cross-training discipline."</t>
  </si>
  <si>
    <t>Grant Programs</t>
  </si>
  <si>
    <t>programming
project</t>
  </si>
  <si>
    <t>"The Botstiber Institute for Austrian-American Studies (BIAAS) seeks grant proposals for projects aimed at promoting an understanding of the historic relationship between the United States and Austria (including Habsburg Austria) in the fields of history, politics, economics, law, cultural studies, and public history. Grants may include support for related lectures, seminars, workshops, conferences, exhibits, publications, podcasts, and documentaries."</t>
  </si>
  <si>
    <t xml:space="preserve">Access Group Center for Research &amp; Policy Analysis </t>
  </si>
  <si>
    <t>Legal Education Diversity Pipeline Grant Program</t>
  </si>
  <si>
    <t>SocSci
Legal studies</t>
  </si>
  <si>
    <t>"To be considered for funding, a proposal must seek to improve directly access to legal education for historically underrepresented minority students and students from economically disadvantaged backgrounds. Measurement and evaluation are essential components for demonstrating the effectiveness and scalability of interventions, and are key factors when deciding what grants we make. AccessLex Institute also encourages applications from programs that display a collaborative approach and strong partnerships with other organizations to achieve the goal of enhancing access to legal education for students from diverse backgrounds."</t>
  </si>
  <si>
    <t>"Competitive fellowships supported by the Kress Foundation are awarded to art historians and art conservators in the final stages of their preparation for professional careers, as well as to students of art history and related fields who are interested in art museum education and curating. To learn more about a particular fellowship and how to apply, select a program below."</t>
  </si>
  <si>
    <t>A&amp;H 
History</t>
  </si>
  <si>
    <t>$2,000-$3,000</t>
  </si>
  <si>
    <t>"Short-term fellowships are awarded for one or more months, and open to academics from any country, subject to selection by committee.  Successful applicants will be working on Jefferson-related projects. Priority is given to Jefferson-related projects using the Digital Archeological Archive of Comparative Slavery or Getting Word.
Fellows are expected to be in residence at the Robert H. Smith International Center for Jefferson Studies (ICJS), where they will have access to Monticello's expert staff and research holdings at the Jefferson Library as well as those of the University of Virginia. During their residencies, fellows hold a 45 minute forum on their research projects."</t>
  </si>
  <si>
    <t>American Historical Association</t>
  </si>
  <si>
    <t>J Franklin Jameson Fellowship</t>
  </si>
  <si>
    <t>"The J. Franklin Jameson Fellowship in American History is offered annually by the John W. Kluge Center at the Library of Congress and the American Historical Association to support significant scholarly research in the collections of the Library of Congress by scholars at an early stage in their careers in history."</t>
  </si>
  <si>
    <t>Digital Resources Grant Program</t>
  </si>
  <si>
    <t>October 1 OTHER DEADLINE
"The Digital Resources program is intended to foster new forms of research and collaboration as well as new approaches to teaching and learning. Support will also be offered for the digitization of important visual resources (especially art history photographic archives) in the area of pre-modern European art history; of primary textual sources (especially the literary and documentary sources of European art history); for promising initiatives in online publishing; and for innovative experiments in the field of digital art history."</t>
  </si>
  <si>
    <t>Brady Education Foundation</t>
  </si>
  <si>
    <t>evaluation</t>
  </si>
  <si>
    <t>"Evaluate the effectiveness of programs designed to promote positive cognitive and/or achievement outcomes for children (birth through 18 years) from underserved groups and/or low-resourced communities (minority ethnic groups, low-income families)."</t>
  </si>
  <si>
    <t>3.9.18</t>
  </si>
  <si>
    <t>Research and Experimentation Grant Program</t>
  </si>
  <si>
    <t>&lt;$20,000</t>
  </si>
  <si>
    <t>"Areas of interest to the Fund are: studies to develop,
refine, evaluate, or disseminate innovative interventions designed to prevent or
ameliorate major social, psychological, behavioral or public health problems affecting children, adults, couples, families, or communities, or studies that have the potential for adding significantly to knowledge about such problems."</t>
  </si>
  <si>
    <t>Grants in Environment and Human Services</t>
  </si>
  <si>
    <t>programming
research</t>
  </si>
  <si>
    <t>November 1 OTHER DEADLINE
"The Lawrence Foundation is a private family foundation focused on making grants to support environmental, education, human services and other causes.... The foundation is focused on making grants to support environmental, human services and other causes although our interests are fairly diverse and may lead us into other areas on an occasional basis. We make both program and operating grants</t>
  </si>
  <si>
    <t>General
Aerospace History</t>
  </si>
  <si>
    <t>$21,250 for 6-9 months</t>
  </si>
  <si>
    <t>"The Fellowships in Aerospace History are offered annually by the National Aeronautics Space Administration (NASA) to support significant scholarly research projects in aerospace history. These fellowships grant the opportunity to engage in significant and sustained advanced research in all aspects of the history of aerospace from the earliest human interest in flight to the present, including cultural and intellectual history, economic history, history of law and public policy, and the history of science, engineering, and management. NASA provides funds to the American Historical Association, the History of Science Society, and the Society for the History of Technology to allow each association to award a fellowship. Applications will be entered into consideration for all three fellowships.... The fellow will be expected to devote the term entirely to the proposed research project. Residency is not required."</t>
  </si>
  <si>
    <t>Visionary Grants</t>
  </si>
  <si>
    <t>&lt;10 year postdoc</t>
  </si>
  <si>
    <t>"The APF Visionary Grants seek to seed innovation through supporting research, education and intervention projects and programs that use psychology to solve social problems in the following priority areas:
Applying psychology to at-risk, vulnerable populations (e.g. serious mental illness, returning military, those who are incarcerated or economically disadvantaged)Preventing violenceUnderstanding the connection between behavior and health (e.g. wellness, diabetes, obesity)Understanding and eliminating stigma and prejudice (e.g. race, gender, sexual orientation, religion, age, disability and socioeconomic status)
Preference will be given to pilot projects that, if successful, would be strong candidates for support from major federal and foundation funding agencies, and “demonstration projects” that promise to generalize broadly to similar settings in other geographical areas and/or to other settings."</t>
  </si>
  <si>
    <t>Scoliosis Research Society</t>
  </si>
  <si>
    <t>$10,000-25,000</t>
  </si>
  <si>
    <t xml:space="preserve">10/1/18 OTHER DEADLINE
"New Investigator Grant
This grant is specifically targeted towards new investigators.  A new investigator is defined as someone who is either a fellow or within 10 years of completion of fellowship or equivalent specialist training in their country and has not previously been awarded funding from a major funding organization.  However, this grant is available to candidates who have received a Small Exploratory grant....
Small Exploratory Grant
This grant is designed specifically for new investigators who have a preliminary concept they would like to develop into a research project....
SRS-Cotrel Foundation Basic Science Grant
The SRS-Cotrel Foundation basic science research grants is for projects that will be performing work at the level of a small animal (rodent, fish, etc.) or smaller, including tissue, cellular, and molecular levels. Population genetics studies are also included in this category. Biomechanical studies will not be considered in this category.
Standard Investigator Grant
...These grant applications may be in any area of spinal deformity research, although an additional funding source for grants focusing on the etiology of scoliosis is available in conjunction with the Cotrel Foundation. These grant applications require evidence that the investigator has the experience and resources to complete the proposed research. As such, preliminary data is generally required.” </t>
  </si>
  <si>
    <t>Small Research Grant Program</t>
  </si>
  <si>
    <t>&lt;$2,500</t>
  </si>
  <si>
    <t>"The APSA Small Research Grant Program supports research in all fields of political science. The intent of these grants is to provide funding opportunities for research conducted by political scientists not employed at PhD-granting departments in the field, or who are in non-tenure track or contingent positions ineligible for departmental funding."</t>
  </si>
  <si>
    <t>USArtists International Program</t>
  </si>
  <si>
    <t>"USArtists International supports performances by U.S. artists at important cultural festivals and arts marketplaces around the globe. Committed to the presence of U.S. based artists on world stages, USArtists International provides grants to ensembles and individual performers in dance, music and theatre invited to perform at significant international festivals and performing arts markets."</t>
  </si>
  <si>
    <t>variable</t>
  </si>
  <si>
    <r>
      <t xml:space="preserve">8/8/18 and 12/5/18 OTHER DEADELINES 
"The Joyce Foundation is a nonpartisan, private charitable foundation that supports evidence-informed policies to improve quality of life, promote safe and healthy communities, and build a just society for the people of the </t>
    </r>
    <r>
      <rPr>
        <b/>
        <sz val="11"/>
        <rFont val="Calibri"/>
      </rPr>
      <t>Great Lakes region</t>
    </r>
    <r>
      <rPr>
        <sz val="11"/>
        <color rgb="FF000000"/>
        <rFont val="Calibri"/>
      </rPr>
      <t>. Our five program strategies advance five policy areas we see as essential to our mission: Education and Economic Mobility, the Environment, Gun Violence Prevention and Justice Reform, Democracy, and Culture."</t>
    </r>
  </si>
  <si>
    <t>$4,200/month for 6-12 months</t>
  </si>
  <si>
    <t>"Fellowships support individuals pursuing advanced research that is of value to humanities scholars, general audiences, or both. Recipients usually produce articles, monographs, books, digital materials, archaeological site reports, translations, editions, or other scholarly resources in the humanities."</t>
  </si>
  <si>
    <t>Mellon Fellowships for Digital Publication</t>
  </si>
  <si>
    <t>"Through NEH-Mellon Fellowships for Digital Publication, the National Endowment for the Humanities and The Andrew W. Mellon Foundation jointly support individual scholars pursuing interpretive research projects that require digital expression and digital publication. To be eligible for this special opportunity, an applicant’s plans for digital publication must be essential to the project’s research goals. That is, the project must be conceived as digital because the nature of the research and the topics being addressed demand presentation beyond traditional print publication. Successful projects will likely incorporate visual, audio, and/or other multimedia materials or flexible reading pathways that could not be included in traditionally published books, as well as an active distribution plan."</t>
  </si>
  <si>
    <t>Whitehall Foundation</t>
  </si>
  <si>
    <t>&lt;$75,000/year</t>
  </si>
  <si>
    <t>April 15, October 1.  Deadlines are for Letter of Intent
"The Whitehall Foundation, through its program of grants and grants-in-aid, assists scholarly research in the life sciences. It is the Foundation's policy to assist those dynamic areas of basic biological research that are not heavily supported by Federal Agencies or other foundations with specialized missions. In order to respond to the changing environment, the Whitehall Foundation periodically reassesses the need for financial support by the various fields of biological research.
The Foundation emphasizes the support of young scientists at the beginning of their careers and productive senior scientists who wish to move into new fields of interest. Consideration is given, however, to applicants of all ages.
Research grants are available to established scientists of all ages working at accredited institutions in the United States.
The Grants-in-Aid program is designed for researchers at the assistant professor level who experience difficulty in competing for research funds because they have not yet become firmly established. Grants-in-Aid can also be made to senior scientists."  These grants cannot exceed $30,000.</t>
  </si>
  <si>
    <t>$1,500/four weeks</t>
  </si>
  <si>
    <t>"This fellowship supports research in American religious history involving the collections of the Boston Athenaeum and the Congregational Library &amp; Archives."</t>
  </si>
  <si>
    <t>Coordinating Council for Women in History</t>
  </si>
  <si>
    <t>Nupur Chaudhuri First Article Prize</t>
  </si>
  <si>
    <t>10,000 plus travel</t>
  </si>
  <si>
    <t>"The Einstein Forum and the Daimler and Benz Foundation are offering a fellowship for outstanding young thinkers who wish to pursue a project in a different field from that of their previous research. The purpose of the fellowship is to support those who, in addition to producing superb work in their area of specialization, are also open to other, interdisciplinary approaches – following the example set by Albert Einstein.
The fellowship includes living accommodations for five to six months in the garden cottage of Einstein`s own summerhouse in Caputh, Brandenburg, only a short distance away from the universities and academic institutions of Potsdam and Berlin."</t>
  </si>
  <si>
    <t xml:space="preserve">"The Whitehall Foundation, through its program of grants and grants-in-aid, assists scholarly research in the life sciences. It is the Foundation's policy to assist those dynamic areas of basic biological research that are not heavily supported by Federal Agencies or other foundations with specialized missions. In order to respond to the changing environment, the Whitehall Foundation periodically reassesses the need for financial support by the various fields of biological research. The Foundation emphasizes the support of young scientists at the beginning of their careers and productive senior scientists who wish to move into new fields of interest. Consideration is given, however, to applicants of all ages….
The Foundation is currently interested in basic research in neurobiology, defined as follows: Invertebrate and vertebrate (excluding clinical) neurobiology, specifically investigations of neural mechanisms involved in sensory, motor, and other complex functions of the whole organism as these relate to behavior. The overall goal should be to better understand behavioral output or brain mechanisms of behavior.”
“Research grants are available to established scientists of all ages working at accredited institutions in the United States. The Grants-in-Aid program is designed for researchers at the assistant professor level who experience difficulty in competing for research funds because they have not yet become firmly established. Grants-in-Aid can also be made to senior scientists." These grants cannot exceed $30,000.” </t>
  </si>
  <si>
    <t> APF Alexander Gralnick Research Investigator Prize</t>
  </si>
  <si>
    <t>"The Russell Berrie Fellowship targets priests, women religious, and members of the laity for the purpose of studying at the Angelicum to obtain a Licence Degree or a Diploma in Interreligious Studies. This program is a timely initiative at the Pontifical University of St. Thomas Aquinas (Angelicum). The goal of the Fellowship Program is to build bridges between Christian, Jewish, and other religious traditions by providing the next generation of religious leaders with a comprehensive understanding of and dedication to interfaith issues."  The fellowship is administered by the Institute of International Education (IIE).</t>
  </si>
  <si>
    <t>Yale University LGBT Studies Research Fellowship</t>
  </si>
  <si>
    <t>Social Sciences
Gender studies</t>
  </si>
  <si>
    <t>"Lesbian, Gay, Bisexual, and Transgender Studies at Yale University is proud to announce the second annual Yale LGBT Studies Research Fellowship. The Fellowship is offered annually, and is designed to provide access to Yale resources in LGBT Studies for scholars who live outside the greater New Haven area. 
Scholars from across the country and around the world are invited to apply for the Yale LGBT Studies Research Fellowship. This fellowship supports scholars from any field pursuing research in lesbian, gay, bisexual, transgender, and/or queer studies at Yale University, utilizing the vast faculty resources, manuscript archives, and library collections available at Yale. Graduate students conducting dissertation research, independent scholars, and all faculty are invited to apply. Scholars residing within 100 miles of New Haven are ineligible."</t>
  </si>
  <si>
    <t xml:space="preserve">Project Management Institute </t>
  </si>
  <si>
    <t>Sponsored Research Program</t>
  </si>
  <si>
    <t>Fellowships for Advanced Social Science Research in Japan</t>
  </si>
  <si>
    <t>"The Fellowships for Advanced Social Science Research on Japan program is a joint activity of the Japan-U.S. Friendship Commission (JUSFC) and the National Endowment for the Humanities. Awards support research on modern Japanese society and political economy, Japan's international relations, and U.S.-Japan relations. The program encourages innovative research that puts these subjects in wider regional and global contexts and is comparative and contemporary in nature. Research should contribute to scholarly knowledge or to the general public’s understanding of issues of concern to Japan and the United States. Appropriate disciplines for the research include anthropology, economics, geography, history, international relations, linguistics, political science, psychology, public administration, and sociology. Awards usually result in articles, monographs, books, digital materials, archaeological site reports, translations, editions, or other scholarly resources."</t>
  </si>
  <si>
    <t>Association of Performing Arts Presenters</t>
  </si>
  <si>
    <t>Cultural Exchange Fund</t>
  </si>
  <si>
    <t>Travel grant</t>
  </si>
  <si>
    <t>$2,000-10,000</t>
  </si>
  <si>
    <t>10/20/18 OTHER DEADLINE; rolling for summer travel
"The Cultural Exchange Fund (CEF) is a travel subsidy program supported by The Andrew W. Mellon Foundation that assists U.S.-based APAP members in building partnerships and collaborations outside of the U.S. and to experience the work of artists from around the world in its cultural context."</t>
  </si>
  <si>
    <t>$1,000/week AUD
$700/week AUD for accommodations
travel support</t>
  </si>
  <si>
    <t>"The National Library of Australia offers a range of Fellowships and Scholarships for established and emerging researchers, practising writers and creative artists, and younger scholars. These are designed to stimulate sustained scholarly, literary and artistic use of our collections, and promote lively interaction within the Library’s community.  Through the program, researchers gain in-depth access to Library collections and staff expertise, financial assistance, and uninterrupted time for research in a respected and supportive scholarly environment." "The National Library of Australia Fellowships support researchers to make intensive use of the Library’s rich and varied collections over a sustained period of three months."</t>
  </si>
  <si>
    <t>$75,000-200,000</t>
  </si>
  <si>
    <t>The National Urban and Community Forestry Advisory Council (Council) "seeks to establish sustainable urban and community forests, by encouraging communities of all sizes to manage and protect their natural resources, which, if well managed, improves the public’s health, well-being, economic vitality, and creates resilient ecosystems for present and future generations. Urban and Community Forestry Program Requirements The Council recommends urban and community forestry projects that have national or multi-state application and impact through the U.S. Forest Service’s competitive Urban and Community Forestry Challenge Cost-Share Grant Program."</t>
  </si>
  <si>
    <t>Breakthrough Prize</t>
  </si>
  <si>
    <t>"Why is there something rather than nothing?
What is the Universe made of?
How did life begin?
How can matter think?
How much is knowable?
The disciplines that ask the biggest questions and find the deepest explanations are the fundamental sciences. The Breakthrough Prizes honor important, primarily recent, achievements in the categories of Fundamental Physics, Life Sciences and Mathematics. The prizes are sponsored by Sergey Brin, Priscilla Chan and Mark Zuckerberg, Pony Ma, Yuri and Julia Milner, and Anne Wojcicki. Committees of previous laureates choose the winners from candidates nominated in a process that’s online and open to the public.... While self-nominations are prohibited, anyone may nominate another person.... For the seventh year, the Breakthrough Prize, recognized as the world’s largest science prize, will honor top scientists, handing out up to four prizes in Life Sciences, one in Fundamental Physics and one in Mathematics. Each prize comes with a $3 million award. In addition, up to six New Horizons Prizes, each for $100,000, will be presented to promising early-career researchers in the fields of Physics and Mathematics."</t>
  </si>
  <si>
    <t>Small Research Grant</t>
  </si>
  <si>
    <t>"The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
Small Research Grants "support smaller scale or pilot research projects that have budgets of $50,000 or less. Proposals are encouraged from scholars across a variety of disciplines in an effort to fund field-initiated education research.”</t>
  </si>
  <si>
    <t>11/20/17
12/4/17</t>
  </si>
  <si>
    <t xml:space="preserve">Rockefeller Association </t>
  </si>
  <si>
    <t>Bellagio Academic Writing Residency</t>
  </si>
  <si>
    <t>"The Rockefeller Foundation Bellagio Center Residency Program offers academics, artists, thought leaders, policymakers, and practitioners a serene setting conducive to focused, goal-oriented work, and the unparalleled opportunity to establish new connections with fellow residents from a wide array of backgrounds, disciplines, and geographies."</t>
  </si>
  <si>
    <t>Sciences
astronomy, chemistry, physics</t>
  </si>
  <si>
    <t>$100,000/3 years</t>
  </si>
  <si>
    <t>"The Cottrell Scholar Award (CSA) is available to early career faculty at US research universities and primarily undergraduate institutions. Eligible applicants are tenure-track faculty members whose primary appointment is in a department of astronomy, chemistry or physics that offers, the minimum, a bachelor’s degree. For the 2017 proposal cycle, eligibility is limited to faculty members who started their first tenure-track appointment anytime in calendar year 2014."</t>
  </si>
  <si>
    <t>Wenner Gren Foundation</t>
  </si>
  <si>
    <t>early career &lt;10 years postdoc</t>
  </si>
  <si>
    <t>"By providing funds for scholars to devote themselves to full-time work on a research-related film, the Foundation aims to enable a new generation of scholars to present their work via this medium. Broadly speaking, we seek to support projects that will have an impact on the field of anthropology -- as well as outreach beyond the academy -- through the support of exciting new and innovative work in the field of ethnographic film."</t>
  </si>
  <si>
    <t>Hunt Postdoctoral Fellowships</t>
  </si>
  <si>
    <t>Fellowship project</t>
  </si>
  <si>
    <t>"By providing funds for scholars to devote themselves full-time to writing, the Foundation aims to enable a new generation of scholars to publish significant works that will impact the development of anthropology. The program contributes to the Foundation's overall mission to support basic research in anthropology and to ensure that the discipline continues to be a source of vibrant and significant work that furthers our understanding of humanity's cultural and biological origins, development, and variation. The Foundation supports research that demonstrates a clear link to anthropological theory and debates."</t>
  </si>
  <si>
    <t>Research Grants</t>
  </si>
  <si>
    <t>Also 5/2/18 and 8/1/18
"Today, we support high-quality research that is relevant to policies and practices that affect the lives of young people ages 5 to 25 in the United States.
We fund research that increases understanding in one of our two focus areas:
programs, policies, and practices that reduce inequality in youth outcomes, and
strategies to improve the use of research evidence in ways that benefit youth.
We seek research that builds stronger theory and empirical evidence in these two areas. We intend for the research we support to inform change. While we do not expect that any one study will create that change, the research should contribute to a body of useful knowledge to improve the lives of young people."</t>
  </si>
  <si>
    <t>12.5.17
2.21.18</t>
  </si>
  <si>
    <t>General
Race studies</t>
  </si>
  <si>
    <t>"The W.E.B. Du Bois Fellowship places particular emphasis on crime, violence and the administration of justice in diverse cultural contexts within the United States."
"This W.E.B. Du Bois Program furthers the Department’s mission by advancing knowledge regarding the confluence of crime, justice, and culture in various societal contexts. This year NIJ is growing the W.E.B. Du Bois Program to fund both scholars who are advanced in their careers and seek to conduct research which advances the study of race and crime, as well as fellows who are early in their careers and seek the opportunity to elevate their research ideas to the level of national discussion."</t>
  </si>
  <si>
    <t>"NIJ's Visiting Fellows Program brings experienced practitioners, policymakers, and — in exceptional circumstances — researchers into residency at NIJ to make important policy and scholarly contributions with practical application to the criminal justice field and to infuse research into policy and practice.
Fellows also work with NIJ leadership, staff, NIJ partners, and criminal justice practitioners to help shape the direction of NIJ’s relevant programs and ensure portfolios respond to the priority needs of the field."</t>
  </si>
  <si>
    <t>"Gilder Lehrman fellowships support research at archives in New York City.
The Institute provides annual short-term research fellowships in the amount of $3000 each to doctoral candidates, college and university faculty at every rank, and independent scholars working in the field of American history."</t>
  </si>
  <si>
    <t>Joan Kelly Memorial Prize</t>
  </si>
  <si>
    <t>"Established in 1984 and named in memory of Joan Kelly (1928–82), this prize is awarded annually for the book in women’s history and/or feminist theory that best reflects the high intellectual and scholarly ideals exemplified by the life and work of Joan Kelly. The prize was established by the Coordinating Committee on Women in the Historical Profession and the Conference Group on Women’s History (now the Coordinating Council for Women in History), and is administered by the American Historical Association."</t>
  </si>
  <si>
    <t>Catherine Prelinger Award</t>
  </si>
  <si>
    <t>ABD+</t>
  </si>
  <si>
    <t>1.15.18</t>
  </si>
  <si>
    <t xml:space="preserve">Perception, Action &amp; Cognition </t>
  </si>
  <si>
    <t>Science</t>
  </si>
  <si>
    <t>5/15/18 and 7/15/18 OTHER DEADLINES 
"The PAC program funds theoretically motivated research on a wide-range of topic areas related to typical human behavior with particular focus on perceptual, motor, and cognitive processes and their interactions. Central research topics for consideration by the program include (but are not limited to) vision, audition, haptics, attention, memory, written and spoken language, spatial cognition, motor control, categorization, reasoning, and concept formation. Of particular interest are emerging areas, such as the interaction of sleep or emotion with cognitive or perceptual processes, epigenetics of cognition, computational models of cognition, and cross-modal and multimodal processing. The program welcomes a wide range of perspectives, such as individual differences, symbolic and neural-inspired computation, ecological approaches, genetics and epigenetics, nonlinear dynamics and complex systems, and a variety of methodologies spanning the range of experimentation and modeling."</t>
  </si>
  <si>
    <t>"The Henry Dreyfus Teacher-Scholar Awards Program supports the research and teaching careers of talented young faculty in the chemical sciences at undergraduate institutions. Based on institutional nominations, the program provides discretionary funding to faculty at an early stage in their careers. The award is based on accomplishment in scholarly research with undergraduates, as well as a compelling commitment to teaching."</t>
  </si>
  <si>
    <t xml:space="preserve">Barry Amiel &amp; Norman Melburn Trust Grants </t>
  </si>
  <si>
    <t>Two deadlines annually.  Awards over £6,000 are considered only at the 12/1 deadline.
"In forthcoming rounds, the Trust will aim to ringfence 50% of funds for applications for projects with a strong focus on popular political education and on engagement with non-academic and non-activist audiences, especially those focused on reaching people and communities across the UK who are likely to face barriers to accessing education, learning and knowledge about the philosophy of Marxism, the history of socialism, the working class movement and other social movements seeking to bring about non-exploitative and egalitarian societies. These barriers could include educational, financial, geographical, or political cultural barriers."</t>
  </si>
  <si>
    <t>$15,000 to $50,000</t>
  </si>
  <si>
    <t>"The program supports writing about contemporary art and aims to ensure that critical writing remains a valued mode of engaging the visual arts. These grants support projects addressing both general and specialized art audiences, from scholarly studies to self-published blogs."</t>
  </si>
  <si>
    <t xml:space="preserve">Artist Trust Grants </t>
  </si>
  <si>
    <t xml:space="preserve">Artist Projects </t>
  </si>
  <si>
    <t>"Grants for Artist Projects (GAP) provide support for artist-generated projects, which can include (but are not limited to) the development, completion or presentation of new work in any discipline."</t>
  </si>
  <si>
    <t>Behavioral Economics</t>
  </si>
  <si>
    <t>August 20, November 30, 2018 OTHER DEADLINES  
"The Russell Sage Foundation's program on Behavioral Economics supports innovative research that uses behavioral insights from psychology and other social sciences to examine and improve social and living conditions in the United States. We seek investigator-initiated research proposals that will broaden our understanding of the social, economic and political consequences of real-life behaviors and decisions that deviate from the neoclassical economic standards of rationality. RSF is especially interested in behavioral economics research that contributes to our understanding of topics of interest under its other programs—Future of Work; Race, Ethnicity and Immigration; Social Inequality."</t>
  </si>
  <si>
    <t>Race, Ethnicity, and Immigration</t>
  </si>
  <si>
    <t>Social Sciences
Race studies</t>
  </si>
  <si>
    <t>August 20, November 30, 2018 OTHER DEADLINES
"The Foundation’s newest program on Race, Ethnicity, and Immigration, replaces two previous programs: Immigration and Cultural Contact. Insights gained from these two long-standing programs inform the genesis of the new program on Race, Ethnicity, and Immigration. The new program encourages multi-disciplinary perspectives on questions stemming from the significant changes in the racial, ethnic, and immigrant-origin composition of the U.S. population. A primary goal is to find ways in which researchers from different social science traditions studying issues of race, ethnicity, and immigration may complement one another in productive and innovative ways. We continue to encourage multi-disciplinary perspectives and methods that both strengthen the data, theory, and methods of social science research and foster an understanding of how we might better achieve the American ideals of a pluralist society."</t>
  </si>
  <si>
    <t>Georgia O'Keefe Museum Research Center</t>
  </si>
  <si>
    <t>Fellowship research on site</t>
  </si>
  <si>
    <t>"The Georgia O’Keeffe Museum offers a variety of fellowships that foster research, exploration, and dialogue. It strives to provide a supportive environment for the pursuit of furthering knowledge and collaboration.
Fellowships in the following three categories will be available for the 2018 calendar year – Academic, Museum Studies, Research, and Collections. Up to two fellows in each category may be selected."</t>
  </si>
  <si>
    <t xml:space="preserve">Shafik Gabr Foundation </t>
  </si>
  <si>
    <t>East-West: The Art of Dialogue Fellowship</t>
  </si>
  <si>
    <t>Early career
24-35yo</t>
  </si>
  <si>
    <t>"The East-West: The Art of Dialogue initiative organises an annual exchange program, the Gabr Fellowship, for young emerging leaders from the East and the West to join forces to develop and implement projects addressing critical issues in their countries....
Each year, the Fellowship consists of 22-24 Fellows with approximately 10 Americans and 10 Egyptians, of which half are men and half are women.... Program participants spend two weeks in Egypt, followed by a further two weeks in the U.S., building enduring connections through hands-on activities, rigorous discussions, web-based interaction and most importantly, their own collaborative ‘action projects’."</t>
  </si>
  <si>
    <t>Australian National University Research School of Humanities and the Arts</t>
  </si>
  <si>
    <t>Humanities Research Centre Visiting Fellowships</t>
  </si>
  <si>
    <t>$3,000 AUD</t>
  </si>
  <si>
    <t>"As a core part of its mission, throughout the year the HRC welcomes several visiting fellows from around the world pursuing research projects in the Humanities. The HRC interprets the ‘Humanities’ generously. As well as supporting scholarship in traditional Humanities disciplines, its visiting fellowship programs encourage and support interdisciplinary and comparative research both within and beyond the Humanities. As members of the scholarly community at the HRC, visiting fellows make valuable contributions to its intellectual life, and to the intellectual life of the broader university community.
Each year, a theme is chosen which inspires and informs research activity within the HRC."</t>
  </si>
  <si>
    <t>Common Heritage Grants</t>
  </si>
  <si>
    <t>"America’s cultural heritage is preserved not only in libraries, museums, archives, and other community organizations, but also in all of our homes, family histories, and life stories. The Common Heritage program aims to capture this vitally important part of our country’s heritage and preserve it for future generations. Common Heritage will support both the digitization of cultural heritage materials and the organization of outreach through community events that explore and interpret these materials as a window on the community’s history and culture."</t>
  </si>
  <si>
    <t>Northern Illinois University</t>
  </si>
  <si>
    <t>Horatio Alger Fellowship for the Study of American Popular Culture</t>
  </si>
  <si>
    <t>No information available currently</t>
  </si>
  <si>
    <t>Vilcek Foundation</t>
  </si>
  <si>
    <t>Prizes for Creative Promise</t>
  </si>
  <si>
    <t>"The Vilcek Prizes for Creative Promise were established in 2009 as a complement to the Vilcek Prizes, to encourage and support young immigrants who have already demonstrated exceptional achievements, and who often face significant challenges early in their careers. As with the Vilcek Prizes, the Creative Promise Prizes are awarded annually in biomedical science and in a changing category of the arts, next year recognizing accomplishments in the field of architecture."</t>
  </si>
  <si>
    <t>"The over-arching goal of this NIBIB-NICHD R25 program is to support educational activities that complement and/or enhance the training of a workforce to meet the nation’s biomedical, behavioral and clinical research needs.  This FOA encourages applications from institutions that propose to establish new or to enhance existing team-based design courses or programs in undergraduate Biomedical Engineering departments or other degree-granting programs with Biomedical Engineering tracks/minors. This FOA mainly targets undergraduate students but may also include first-year graduate students. Courses and programs that address innovative and/or ground-breaking development, multidisciplinary/interdisciplinary education, the regulatory pathway and other issues related to the commercialization of medical devices, and clinical immersion are especially encouraged."</t>
  </si>
  <si>
    <t>Sciences
Health and medicine</t>
  </si>
  <si>
    <t>"The Vilcek Prizes for Creative Promise were established in 2009 as a complement to the Vilcek Prizes, to encourage and support young immigrants who have already demonstrated exceptional achievements, and who often face significant challenges early in their careers. As with the Vilcek Prizes, the Creative Promise Prizes are awarded annually in biomedical science and in a changing category of the arts, next year recognizing accomplishments in the field of architecture.... Applications are now open for next year's Creative Promise Prizes in Biomedical Science and Culinary Arts."</t>
  </si>
  <si>
    <t>Biomedical Science</t>
  </si>
  <si>
    <t>"The Vilcek Foundation will award three prizes of $50,000 each to young foreign-born biomedical scientists who demonstrate outstanding early achievement. Eligible work may be in basic, applied, and/or translational biomedical science."</t>
  </si>
  <si>
    <t>Harvard University Weatherhead Center</t>
  </si>
  <si>
    <t>Huntington Prize</t>
  </si>
  <si>
    <t>"Students and friends of Samuel P. Huntington (1927–2008) have established a prize in the amount of $10,000 for the best book published each year in the field of national security. The book can be a work of history or political science, or a work by a practitioner of statecraft."</t>
  </si>
  <si>
    <t>November 30, OTHER DEADLINE 
"The Russell Sage Foundation’s initiative on Computational Social Science (CSS) supports innovative social science research that brings new data and methods to bear on questions of interest in its core programs in Behavioral Economics, Future of Work, Race, Ethnicity and Immigration, and Social Inequality. Limited consideration will be given to questions that pertain to core methodologies, such as causal inference and innovations in data collection."</t>
  </si>
  <si>
    <t>Universtiy of Minnesota's Immigration History Research Center Archives</t>
  </si>
  <si>
    <t>The Michael G. Karni Scholarship</t>
  </si>
  <si>
    <t>CLAGS Center for LGBTQ Studies</t>
  </si>
  <si>
    <t>"An award to be given annually for a graduate student, an academic, or an independent scholar for work on a dissertation, a first book manuscript, or a second book manuscript. The CLAGS Fellowship is open to intellectuals contributing to the field of LGBTQ studies. Intended to give the scholar the most help possible in furthering their work, the fellowship will be able to be used for research, travel, or writing support."</t>
  </si>
  <si>
    <t>Conference on Latin American History</t>
  </si>
  <si>
    <t>Lydia Cabrera Awards</t>
  </si>
  <si>
    <t>Fellowship honor</t>
  </si>
  <si>
    <t>DIVISIONS HAVE OTHER DEADLINES
"The criterion for election is exceptional contributions to the physics enterprise; e.g., outstanding physics research, important applications of physics, leadership in or service to physics, or significant contributions to physics education. Fellowship is a distinct honor signifying recognition by one's professional peers."</t>
  </si>
  <si>
    <t>Scholar's Grant</t>
  </si>
  <si>
    <t>$1,500-$3,500</t>
  </si>
  <si>
    <t>"The CHNY Scholar’s Grant promotes research and scholarship in the field of culinary history and is awarded annually to individuals seeking financial support for a current, well-developed project that will culminate in a book, article, paper, film, or other scholarly endeavor, including ephemera. The grants are unrestricted and can be used to defray research expenses, attend conferences, or engage in other activities related to the applicant’s project."</t>
  </si>
  <si>
    <t>"Digital Humanities Advancement Grants (DHAG) support digital projects throughout their lifecycles, from early start-up phases through implementation and long-term sustainability. Experimentation, reuse, and extensibility are hallmarks of this grant category, leading to innovative work that can scale to enhance research, teaching, and public programming in the humanities.
This program is offered twice per year. Proposals are welcome for digital initiatives in any area of the humanities.
Through a special partnership, the Institute of Museum and Library Services (IMLS) anticipates providing additional funding to this program to encourage innovative collaborations between museum or library professionals and humanities professionals to advance preservation of, access to, use of, and engagement with digital collections and services."</t>
  </si>
  <si>
    <t>National Endowment for the Humanities Research and Development Program</t>
  </si>
  <si>
    <t>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t>
  </si>
  <si>
    <t>Stonewall Community Foundation</t>
  </si>
  <si>
    <t>Society for Neuroscience</t>
  </si>
  <si>
    <t>Mika Salpeter Lifetime Achievement Award</t>
  </si>
  <si>
    <t>General Research Grants</t>
  </si>
  <si>
    <t>Journal of Visualized Experiments</t>
  </si>
  <si>
    <t>Film Your Research Project</t>
  </si>
  <si>
    <t>"JoVE remains the first and only peer-reviewed scientific video journal, publishing more than 100 new videos each month."</t>
  </si>
  <si>
    <t>Fellowships in Marine Microbial Ecology</t>
  </si>
  <si>
    <t>&lt;2 years postdoc</t>
  </si>
  <si>
    <t>$62,000, &lt;$10,000 for health insurance, &lt;$10,000 for research costs</t>
  </si>
  <si>
    <t>"The Simons Foundation invites applications for postdoctoral fellowships to support research on fundamental problems in marine microbial ecology. The foundation is particularly interested in applicants with training in different fields who want to apply their experience to understanding the role of microorganisms in shaping ocean processes and vice versa, as well as applicants with experience in modeling or theory development. While these cross-disciplinary applicants will receive particular attention, applicants already involved in ocean research are also encouraged to apply."</t>
  </si>
  <si>
    <t>American Chemical Society</t>
  </si>
  <si>
    <t>WCC Rising Star Award</t>
  </si>
  <si>
    <t>Association for Information Science and Technology</t>
  </si>
  <si>
    <t>Bob Williams History Fund Research Grant Award</t>
  </si>
  <si>
    <t>full-time professor</t>
  </si>
  <si>
    <t>up to $15,000</t>
  </si>
  <si>
    <t>The Alliance Call for Joint Projects is open to full-time officers of instruction of professorial rank, from all disciplines at Columbia University, École Polytechnique, Sciences Po, and Paris Panthéon-Sorbonne University. Projects must be presented jointly by at least one faculty member from Columbia University and one faculty member from any one of the three French institutions. Third parties may be part of the Joint Project team as long as the team includes at least one faculty member from Columbia University and at least one faculty member from any one of the three French institutions. The Alliance Program will fund projects up to $15,000 for travel, materials, technological support, and other expenses in the design/implementation of the project. The grant cannot be used for salary, stipends, Per Diem, or teaching-assistant wages. Special consideration will be given to those projects which aim to promote sustainable relationships between departments or schools in the Alliance network.</t>
  </si>
  <si>
    <t>Visiting Scholars Program</t>
  </si>
  <si>
    <t>mid-career and established</t>
  </si>
  <si>
    <t>"The Russell Sage Foundation's Visiting Scholars Program provides a unique opportunity for select scholars in the social, economic and behavioral sciences to pursue their research and writing while in residence at the Foundation’s New York headquarters. Research carried out by Visiting Scholars constitutes an important part of the Foundation’s ongoing effort to analyze and understand the complex and shifting nature of social and economic life in the United States. While Visiting Scholars typically work on projects related to the Foundation’s current programs, a few scholars whose research falls outside these areas are occasionally invited as well. Descriptions of our prior Visiting Scholar classes along with summaries of their projects attest to the diversity of scholars, disciplines and projects selected."</t>
  </si>
  <si>
    <t>Barbara Deming Memorial Fund</t>
  </si>
  <si>
    <t>$500-$1,500</t>
  </si>
  <si>
    <t>"Small artist support grants ( $500 - $1500 ) to individual feminist women in the arts." ... "We are interested in [f]unding projects which you have begun or which are well underway, and for which you have substantial work to show. We request that the majority of your submitted materials be related to and part of this project."</t>
  </si>
  <si>
    <t>Hagley Museum and Library</t>
  </si>
  <si>
    <t>Henry Belin Du Pont Research Grants &amp; Exploratory Research Grants</t>
  </si>
  <si>
    <t>The Annie Jump Cannon Award is for outstanding research and promise for future research by a postdoctoral woman researcher. It is given to a North American female astronomer within five years of receiving her PhD in the year designated for the award. The Cannon Award includes an honorarium of $1,500 and an invitation to give an invited talk at a meeting of the AAS, for which travel expenses will be paid.</t>
  </si>
  <si>
    <t xml:space="preserve">National Geographic </t>
  </si>
  <si>
    <t>Expeditions Council Grant</t>
  </si>
  <si>
    <t>Scholar in Residence Fellowship</t>
  </si>
  <si>
    <t>11/1/18 
"The Scholars-in-Residence Program is designed to (1) encourage research and writing on the history, literature and culture of the of the LGBTQ community or other dynamic projects relating to the LGBTQ experience, broadly conceived; (2) to promote and facilitate interaction among the participants including fellows funded by other sources; (3) to facilitate the dissemination of the researcher’s findings through lectures via CLAGS’s ongoing Events Series. Applicants must indicate in their proposal how these resources will specifically benefit their project."
"The CLAGS Scholar-in-Residence will be allowed to spend up to six months in residence.  Beyond a CLAGS affiliation, Fellows will receive office space, access to libraries and electronic databases, as well as opportunities to meet and work with leading LGBTQ scholars in New York City."</t>
  </si>
  <si>
    <t>American Institute of Indian Studies</t>
  </si>
  <si>
    <t>established</t>
  </si>
  <si>
    <t>Maintenance stipend per month: Rs 74,750
Research and travel per month:Rs 29,250
Dollar supplement per month: $115
Per dependent allowance per month:Rs 13,000</t>
  </si>
  <si>
    <t>"Senior Research Fellowships are available to scholars with a PhD or its equivalent. These grants are designed to enable scholars who specialize in South Asia to pursue further research in India and to establish formal affiliation with an Indian institution. Short-term awards are available for up to four months. Long-term awards are available for six to nine months. A limited number of humanists will be granted fellowships paid in dollars funded by the National Endowment for the Humanities....
Senior Scholarly/Professional Development Fellowships are available both to established scholars who have not previously specialized in Indian studies and to established professionals who have not previously worked or studied in India. Senior Scholarly/Professional Development Fellows are formally affiliated with an Indian institution. Awards may be granted for periods of six to nine months.
Senior Performing and Creative Arts Fellowships are available to accomplished practitioners of the performing arts of India and creative artists who demonstrate that study in India would enhance their skills, develop their capabilities to teach or perform in the U.S., enhance American involvement with India’s artistic traditions or strengthen their links with peers in India."</t>
  </si>
  <si>
    <t>William T. Grant</t>
  </si>
  <si>
    <t>Distinguished Fellows Grants</t>
  </si>
  <si>
    <t>recent grants were for $140,000-$175,000</t>
  </si>
  <si>
    <t>"Currently, we are interested in research with the potential to improve the lives of young people between the ages of 5 and 25 in the following areas:
Reducing Inequality
Improving the Use of Research Evidence" ... 
Distinguished Fellows are required to submit program reports every six months. Financial reports are due within three months of the end of each grant year."</t>
  </si>
  <si>
    <t>William T. Grant Scholars Program</t>
  </si>
  <si>
    <t>General
education</t>
  </si>
  <si>
    <t>Applicant received his/her terminal degree (e.g., Ph.D., M.D.) within seven years of submitting the application.
"We fund research that increases understanding in one of our two focus areas:
programs, policies, and practices that reduce inequality in youth outcomes, and
strategies to improve the use of research evidence in ways that benefit youth.
We seek research that builds stronger theory and empirical evidence in these two areas. We intend for the research we support to inform change. While we do not expect that any one study will create that change, the research should contribute to a body of useful knowledge to improve the lives of young people."</t>
  </si>
  <si>
    <t>Science of Learning</t>
  </si>
  <si>
    <t>travel, room, board</t>
  </si>
  <si>
    <t>"Art Omi has five distinct residency programs. Through a competitive jury process, residents are chosen.... Abundant, catered meals and comfortable, beautiful lodgings are provided in a scenic location in Columbia County, New York. Art Omi is two hours north of New York City by train." "Art Omi: Writers (formerly Ledig House) has been awarded a grant from the Amazon Literary Partnership to fund Translation Lab 2018, a 12-day special, intensive residency for four collaborating writer-translator teams in the fall of 2018.
Art Omi: Writers will host four English language translators at the Art Omi campus in New York's Hudson Valley for 12 days. These translators will be invited along with the writers whose work is being translated. All text-based projects—fiction, nonfiction, theater, film, poetry, etc.—are eligible." Travel costs are included.</t>
  </si>
  <si>
    <t>July 10 OTHER DEADLINE
"The Leakey Foundation exclusively funds research related specifically to human origins. Priority of funding is commonly given to exploratory phases of promising new research projects that meet the stated purpose of the Foundation."</t>
  </si>
  <si>
    <t>$4,200/month for 4-11 months</t>
  </si>
  <si>
    <t>"The John W. Kluge Center at the Library of Congress invites qualified scholars to conduct research at the Kluge Center using the Library of Congress collections and resources for a period of four to eleven months....
The Kluge Center especially encourages humanistic and social science research that makes use of the Library's large and varied collections. Interdisciplinary, cross-cultural, or multi-lingual research is particularly welcome. Among the collections available to researchers are the world's largest law library and outstanding multi-lingual collections of books and periodicals. Deep special collections of manuscripts, maps, music, films, recorded sound, prints and photographs are also available."</t>
  </si>
  <si>
    <t>Developmental and Learning Sciences</t>
  </si>
  <si>
    <t>varies</t>
  </si>
  <si>
    <t>Also January 16, 2018
"DS supports research that addresses developmental processes within the domains of cognitive, social, emotional, and motor development across the lifespan by working with any appropriate populations for the topics of interest including infants, children, adolescents, adults, and non-human animals. The program also supports research investigating factors that affect developmental change including family, peers, school, community, culture, media, physical, genetic, and epigenetic influences. Additional priorities include research that: incorporates multidisciplinary, multi-method, microgenetic, and longitudinal approaches; develops new methods, models, and theories for studying development; includes participants from a range of ethnicities, socioeconomic backgrounds, and cultures; and integrates different processes (e.g., memory, emotion, perception, cognition), levels of analysis (e.g., behavioral, social, neural), and time scales."</t>
  </si>
  <si>
    <t>Linguistics</t>
  </si>
  <si>
    <t>Annual deadline of January 15th</t>
  </si>
  <si>
    <t>Faculty Early Career Development Program (CAREER), BIO, CISE, HER</t>
  </si>
  <si>
    <t>July 18, 2018 for BIO, CISE, EHR, July 19, 2018 for ENG, July 20, 2018 for GEO, MPS, SBE
"a Foundation-wide activity that offers the National Science Foundation's most prestigious awards in support of early-career faculty who have the potential to serve as academic role models in research and education and to lead advances in the mission of their department or organization. Activities pursued by early-career faculty should build a firm foundation for a lifetime of leadership in integrating education and research."</t>
  </si>
  <si>
    <t xml:space="preserve">Marconi Society </t>
  </si>
  <si>
    <t>Marconi Prize</t>
  </si>
  <si>
    <t>honorarium</t>
  </si>
  <si>
    <t>"The Marconi Prize is awarded annually to individuals who have made a significant contribution to the advancement of communications for the benefit of mankind through scientific or technological discoveries. Recipients of the Marconi Prize are designated Marconi Fellows and are expected to pursue further creative work that will add to the understanding and development of communications technology.... The Marconi Prize includes an honorarium and a work of sculpture."</t>
  </si>
  <si>
    <t>"The Marconi Society Lifetime Achievement Award recognizes late-career, living individuals with an established history of distinguished professional work who, during their lifetimes, have made creative contributions and positive impact to the field of communications and to the development of the careers of others."</t>
  </si>
  <si>
    <t>A&amp;H
Philosophy &amp; Religion</t>
  </si>
  <si>
    <t>research project</t>
  </si>
  <si>
    <t>$500 to $5000</t>
  </si>
  <si>
    <t>Collaborative grants are intended to stimulate cooperative research among scholars who have a focus on a clearly identified research project. They may also be used for interdisciplinary work with scholars outside the field of religion, especially when such work shows promise of continuing beyond the year funded. Collaborative project proposals are expected to describe plans for having the results of the funded. Collaborative project proposals are expected to describe plans for having the results of the research published. Grants can provide funds for networking and communication. Funds may also be used to support small research conferences. Conference proposals will be considered only if they are used to support small research conferences. Conference proposals will be considered only if they are designed primarily to advance research.</t>
  </si>
  <si>
    <t>Fulbright</t>
  </si>
  <si>
    <t>Distinguished Chair in International Relations at University of Sao Paulo (USP)</t>
  </si>
  <si>
    <t>At the University of Sao Paulo (USP), main campus, "[t]each graduate and undergraduate courses, develop collaborative research with faculty and, subject to agreement of the academic committees of the Institute of International Relations at USP, teach courses and/or advanced seminars in topics to be defined.
In addition to being a prestigious academic exchange program, the Fulbright Program is designed to expand and strengthen relationships between the people of the United States and citizens of other nations and to promote international understanding and cooperation. To support this mission, Fulbright Scholars will be asked to give public talks, mentor students, and otherwise engage with the host community, in addition to their primary research or teaching activities‎."</t>
  </si>
  <si>
    <t>United States Department of State Bureau of Educational and Cultural Affairs</t>
  </si>
  <si>
    <t>Fulbright U.S. Scholar Program</t>
  </si>
  <si>
    <t>"The Core Fulbright Scholar Program offers over 500 teaching, research or combination teaching/research awards in over 125 countries. Opportunities are available for college and university faculty and administrators as well as for professionals, artists, journalists, scientists, lawyers, independent scholars and many others. In addition to several new program models designed to meet the changing needs of U.S. academics and professionals, Fulbright is offering more opportunities for flexible, multi-country grants."</t>
  </si>
  <si>
    <t>Early Career Award for Public Engagement with Science</t>
  </si>
  <si>
    <t>"The AAAS Early Career Award for Public Engagement with Science, established in 2010, recognizes early-career scientists and engineers who demonstrate excellence in their contribution to public engagement with science activities."</t>
  </si>
  <si>
    <t>Grants are made to four-year degree-granting institutions; preference is given for support of women in the physical science and engineering fields in which women are the most underrepresented, e.g., physics, computer science, mathematics, electrical engineering, mechanical engineering, etc.</t>
  </si>
  <si>
    <t>Google</t>
  </si>
  <si>
    <t>Faculty Research Award</t>
  </si>
  <si>
    <t>Sciences
Engineering
Computer Science</t>
  </si>
  <si>
    <t xml:space="preserve">Application opens in late summer 2018
The Faculty Research Awards Program, sometimes referred to as the Research Awards Program, supports academic research in computer science, engineering, and related fields. Through the program, the institution fund world-class research at top universities, facilitate interaction between Google and academia, and support projects whose output will be made openly available to the research community. Google’s Faculty Research Awards program funds work in Computer Science, Engineering, and related fields. Awards tend to go to projects that are highly technical. The work funded through Faculty Research Awards is very high caliber, and research results are often published at top conferences and in top publications in Computer Science.
</t>
  </si>
  <si>
    <t>The foundation welcomes proposals from any of the natural and social sciences and the humanities that promise to increase understanding of the causes, manifestations, and control of violence and aggression. Highest priority is given to research that can increase understanding and amelioration of urgent problems of violence and aggression in the modern world. Questions that interest the foundation concern violence and aggression in relation to social change, intergroup conflict, war, terrorism, crime, and family relationships, among other subjects.</t>
  </si>
  <si>
    <t>Law &amp; Social Sciences</t>
  </si>
  <si>
    <t xml:space="preserve">“to support basic scientific research on the causes, consequences, and complexities of human social and cultural variability.” </t>
  </si>
  <si>
    <t>Political Science</t>
  </si>
  <si>
    <t xml:space="preserve">“supports scientific research that advances knowledge and understanding of citizenship, government, and politics.”  </t>
  </si>
  <si>
    <t>Sociology</t>
  </si>
  <si>
    <t>"supports basic research on all forms of human social organization -- societies, institutions, groups and demography -- and processes of individual and institutional change."</t>
  </si>
  <si>
    <t>Sociological Initiatives Foundation</t>
  </si>
  <si>
    <t>Decision, Risk and Management Sciences</t>
  </si>
  <si>
    <t xml:space="preserve">“supports scientific research directed at increasing the understanding and effectiveness of decision making by individuals, groups, organizations, and society.” </t>
  </si>
  <si>
    <t>Economics</t>
  </si>
  <si>
    <t>OTHER DEADLINE: NOVEMBER, 2018 (possible)
"The Future of Work program examines the causes and consequences of the deteriorating quality of low-wage jobs in the United States. Projects sponsored by the program have examined a wide range of causal factors, from foreign outsourcing and immigration to the decline of unions and technological change, that may have depressed wages of low-education workers. Current research under this program includes a new investigation to re-assess how minimum wage increases affect employment and the broader labor market; a new study of the extent of offshoring of production by U.S. firms and its impact on the economy; and a project that examines the role of job search behaviors on the employment and wage outcomes of women and minorities in the post-recessionary U.S. labor market, among others."</t>
  </si>
  <si>
    <t>OTHER DEADLINE: NOVEMBER, 2018 (possible)
"The Russell Sage Foundation's program on Social Inequality supports innovative research on whether rising economic inequality has affected social, political, and economic institutions, and the extent to which increased inequality has affected equality of opportunity, social mobility, and the intergenerational transmission of advantage. We seek investigator-initiated research projects that will broaden our understanding of the causes and consequences of rising economic inequalities in the United States....
Funding is available for secondary analysis of data or for original data collection. We are especially interested in novel uses of existing data, as well as analyses of new or under-utilized data. Proposals to conduct laboratory or field experiments, in-depth qualitative interviews, and ethnographies are also encouraged. Smaller projects might consist of exploratory fieldwork, a pilot study, or the analysis of existing data."</t>
  </si>
  <si>
    <t xml:space="preserve">Institute of Museum and Library Services </t>
  </si>
  <si>
    <t>National Leadership Grants for Libraries</t>
  </si>
  <si>
    <t>National Leadership Grants for Libraries (NLG-L) support projects that address significant challenges and opportunities facing the library and archives fields and that have the potential to advance theory and practice. Successful proposals will generate results such as new tools, research findings, models, services, practices, or alliances that will be widely used, adapted, scaled, or replicated to extend the benefits of federal investment.</t>
  </si>
  <si>
    <t>between 3 and 12 months of “full time support”</t>
  </si>
  <si>
    <t>"Applicants are invited to submit proposals for research in the social sciences and related disciplines relevant to any one or any combination of the four themes below. The themes are:
1) Threats to Personal, Societal, and International Security
Especially welcome topics include food, water, and energy insecurity; pandemics; climate change; disaster preparedness, prevention, and recovery; and conflict, terrorism, and cyber security. 
2) Growth and Sustainable Development
Especially welcome topics include global financial stability, trade imbalances and agreements, adjustment to globalization, climate change and adaptation, and poverty and inequality.
3) Social, Scientific, and Cultural Trends and Transformations
Especially welcome topics include aging and other demographic change, benefits and dangers of reproductive genetics, gender and social exclusion, expansion of STEM education among women and under-represented populations, migration, rural depopulation and urbanization, impacts of automation on jobs, poverty and inequality, and community resilience.
4) Governance, Empowerment, and Participation
Especially welcome topics include challenges to democratic institutions, participatory governance, human rights, the changing role of NGO/NPOs, the rise of new media, and government roles in fostering innovation....
Rather than seeking to promote greater understanding of a single country—Japan or the United States—the Abe Fellowship Program encourages research with a comparative or global perspective. The program promotes deeply contextualized cross-cultural research."</t>
  </si>
  <si>
    <t>Research Training Groups in the Mathematical Sciences</t>
  </si>
  <si>
    <t>"The purpose of the Focused Research Group activity is to support collaborative groups employing innovative methods to solve specific, major research challenges in the mathematical sciences. A major challenge is an outstanding problem of significant importance that requires the focused and synergistic efforts of a collaborative group to solve, and whose solution will have wide impacts in the mathematical sciences and potentially in other areas. Groups may include, in addition to statisticians and mathematicians, researchers from other science and engineering disciplines appropriate for the proposed research. Risky projects are welcome. Interdisciplinary projects are welcome. Projects should be timely, limited in duration to up to three years, and substantial in their scope and impact for the mathematical sciences. Funded projects that show substantial progress in their first two years may be recommended for a creativity extension for up to an additional two years."</t>
  </si>
  <si>
    <t>Fellowship Programs</t>
  </si>
  <si>
    <t>General
gender studies</t>
  </si>
  <si>
    <t>"As a fellow, you will focus on your individual project while benefiting from a dynamic, multidisciplinary community at Harvard University. Fellows—women and men—are at the forefront of the arts, journalism, humanities, sciences, and social sciences." ... "Applications in all academic disciplines, professions, and creative arts are encouraged, and there are a few areas of special interest:
Applications related to the theme of citizenship—local, national, and global—which is a two-year initiative across the programs of the Radcliffe Institute
Applications that involve the study of women, gender, and society, which is a commitment rooted in Radcliffe’s unique history
Applications that draw on the resources of the Schlesinger Library on the History of Women in America, which is part of the Radcliffe Institute and one of the foremost archives on women’s history."</t>
  </si>
  <si>
    <t>Documenting Endangered Languages</t>
  </si>
  <si>
    <t>$2,500-$50,000</t>
  </si>
  <si>
    <t>“The Foundation supports arts and cultural organizations through grants to catalyze collective action, promote equality, contribute to advocacy and policy change and develop capacity for greater civic promote equality, contribute to advocacy and policy change and develop capacity for greater civic promote equality, contribute to advocacy and policy change and develop capacity for greater civic promote equality, contribute to advocacy and policy change and develop capacity for greater civic engagement.  The Foundation is also interested in supporting organizations outside of the arts whose programs seek to engage communities through cultural activities. Through its Art and Social Justice mission the Shelley &amp;amp; Donald Rubin Foundation fosters dialogue, encourages diversity, promotes education, and nurtures and empowers communities. Through an annual grants program the Foundation supports ethical artistic practice that aims to broaden access in the five boroughs of New York City.</t>
  </si>
  <si>
    <t>Fellowship Programme</t>
  </si>
  <si>
    <t>1000 EUR</t>
  </si>
  <si>
    <t>"THE FELLOWSHIPS ARE AWARDED IN PARTICULAR FOR
research motivated by the desire to promote understanding among nations through education. This research is aimed at identifying prejudices, distortions in perception, and stereotyped and adversarial images transmitted in education, as well as their origins, by means of analysing educational material international educational and didactical research on the methods, content and objectives of teaching in the subject areas in which the Institute's library specialises; research in the field of the fundamental governmental, institutional and social frameworks in which this teaching takes place academic research on issues of perception and reception in the fields of history, geography and social science studies on textbook development in the subjects represented at the Institute which aim at identifying new directions for the production of textbooks based on comparative international textbook research."</t>
  </si>
  <si>
    <t xml:space="preserve">OCLA/ALISE </t>
  </si>
  <si>
    <t>Library and Information Science Research Grant Program</t>
  </si>
  <si>
    <t>Promote independent research, particularly work helping to integrate new technologies that offer innovative approaches, and research that contributes to a better understanding of the information environment and user expectations and behaviors. We will prioritize submissions that integrate diversity, inclusion and equity aspects into these research areas.</t>
  </si>
  <si>
    <t>Funding</t>
  </si>
  <si>
    <t>Recent grants range from $12,000-$28,000</t>
  </si>
  <si>
    <t>"The Eppley Foundation for Research was incorporated in 1947 for the purpose of “increasing knowledge in pure or applied science…in chemistry, physics and biology through study, research and publication.”
The Foundation does not support work in the social sciences, education or computer science, and only rarely funds research into diseases that have considerable financial support available, such as AIDS, diabetes, cancer and heart disease. Particular areas of interest include innovative medical investigations, climate change, whole ecosystem studies, as well as research on single species if they are of particular significance in their environments, in the U.S. and abroad.
The Foundation does not fund work that can qualify for funding from conventional sources such as the National Science Foundation or the National Institutes of Health, or similar agencies at the state level.
It is important to the Foundation that the work proposed be novel in its insights and unlikely to be underway elsewhere. The Foundation is prepared to take risks."</t>
  </si>
  <si>
    <t>Humanities Connections Planning Grants</t>
  </si>
  <si>
    <t>"The Humanities Connections grant program seeks to expand the role of the humanities in undergraduate education at two- and four-year institutions. Grants will support innovative curricular approaches that foster productive partnerships among humanities faculty and their counterparts in the social and natural sciences and in pre-service or professional programs (such as business, engineering, health sciences, law, computer science, and other technology-driven fields).
Competitive applications will demonstrate
that the proposed curricular projects address significant and compelling topics or issues in undergraduate education at the applicant institution(s);
that these projects engage the intellectual skills and habits of mind cultivated by the humanities; and that faculty and students will benefit from meaningful collaborations in teaching and learning across disciplines as a result of the project."</t>
  </si>
  <si>
    <t>Humanities Connections Implementation Grants</t>
  </si>
  <si>
    <t>"The Humanities Connections grant program seeks to expand the role of the humanities in undergraduate education at two- and four-year institutions. Grants will support innovative curricular approaches that foster productive partnerships among humanities faculty and their counterparts in the social and natural sciences and in pre-service or professional programs (such as business, engineering, health sciences, law, computer science, and other technology-driven fields).
Competitive applications will demonstrate
that the proposed curricular projects address significant and compelling topics or issues in undergraduate education at the applicant institution(s);
that these projects engage the intellectual skills and habits of mind cultivated by the humanities; and that faculty and students will benefit from meaningful collaborations in teaching and learning across disciplines as a result of the project."</t>
  </si>
  <si>
    <t>Industry-University Cooperative Research Centers Program</t>
  </si>
  <si>
    <t>research
center</t>
  </si>
  <si>
    <t>"The Industry-University Cooperative Research Centers (IUCRC) program develops long-term partnerships among industry, academe, and government. The Centers are catalyzed by an investment from the National Science Foundation (NSF) and are primarily supported by industry Center members, with NSF taking a supporting role in the development and evolution of the Center. Each Center is established to conduct research that is of interest to both the industry members and the Center faculty. An IUCRC contributes to the nation's research infrastructure base and enhances the intellectual capacity of the engineering and science workforce through the integration of research and education. As appropriate, an IUCRC uses international collaborations to advance these goals within the global context."</t>
  </si>
  <si>
    <t>STEM</t>
  </si>
  <si>
    <t>research funding</t>
  </si>
  <si>
    <t>up to $80,000</t>
  </si>
  <si>
    <t>The Office of the Executive Vice President for Research annually sponsors the Research Initiatives in Science &amp;amp; Engineering (RISE) funding competition, which awards seed monies to initiate very early-stage, potentially high-impact, interdisciplinary, and high-risk research collaborations that may trigger novel scientific paradigms. Emerging out of each competition year, five or six awarded teams will receive up to $80,000 in seed funds for one year's time, with the possibility of receiving a second year's funding of $80,000. To date, RISE projects have received back 600% more extramural funding than was initially provided to them by institutional funds, and have resulted in 130+ peer-reviewed publications and training opportunities for 130+ postdocs and students. Barnard faculty with joint appointments in a Columbia department are eligible to apply.</t>
  </si>
  <si>
    <t>John Guggenheim Memorial Foundation</t>
  </si>
  <si>
    <t>"Guggenheim Fellowships are intended for individuals who have already demonstrated exceptional capacity for productive scholarship or exceptional creative ability in the arts....The Foundation receives approximately 3,000 applications each year. Although no one who applies is guaranteed success in the competition, there is no prescreening: all applications are reviewed. Approximately 175 Fellowships are awarded each year."</t>
  </si>
  <si>
    <t>New York Public Library Cullman Center</t>
  </si>
  <si>
    <t>&lt;$70,000/9 months</t>
  </si>
  <si>
    <t>"The Dorothy and Lewis B. Cullman Center for Scholars and Writers offers fellowships to people whose work will benefit directly from access to the research collections at the Stephen A. Schwarzman Building at Fifth Avenue and 42nd Street. Renowned for the extraordinary comprehensiveness of its collections, the Library is one of the world's preeminent resources for study in anthropology, art, geography, history, languages and literature, philosophy, politics, popular culture, psychology, religion, sociology, and sports.... The Cullman Center’s Selection Committee awards up to 15 fellowships a year to outstanding scholars and writers—academics, independent scholars, journalists, and creative writers."</t>
  </si>
  <si>
    <t>Berlin Prize</t>
  </si>
  <si>
    <t>$5,000 plus travel, room, and partial board</t>
  </si>
  <si>
    <t>"Each year the Academy welcomes about two dozen fellows to the Hans Arnhold Center, on Lake Wannsee. The Academy also hosts a small number of invited Distinguished Visitors for shorter stays of one to four weeks, and organizes a diverse public program that includes lectures and presentations by resident fellows, Distinguished Visitors, and guest speakers.
In addition to placing a high priority on the independent work of its fellows, the Academy is in a unique position to aid fellows in establishing professional networks, both in Berlin and beyond. The Academy’s public atmosphere, which actively encourages fellows to introduce their work to wider audiences, serves its mission of fostering transatlantic ties through cultural exchange."</t>
  </si>
  <si>
    <t>Feminist Review Trust</t>
  </si>
  <si>
    <t>Awards</t>
  </si>
  <si>
    <t>Carey Institute for Global Good</t>
  </si>
  <si>
    <t>"The Logan Nonfiction Program seeks to address the public’s need for longform nonfiction to inform the policy debate essential to democracy.... 
Logan Nonfiction fellows at the Carey Institute are provided all the necessary tools to complete their critical work. Lodging, work space, sophisticated technological support (including Wi-Fi, a state-of-the-art screening room and dedicated space, equipment and software for video, film and radio editing) and meals are provided. Fellows may also benefit from the mentorship of several board members and internationally renowned journalists.
We also help selected print fellows convert their work into audio, video or digital media through the expertise of our partners. The Institute is eager to convene issue-oriented conferences related  to our fellows’ projects to bring their reporting to policy-makers and other experts."</t>
  </si>
  <si>
    <t>Faculty Research Grant</t>
  </si>
  <si>
    <t>"The Faculty Research Awards Program, sometimes referred to as the Research Awards Program, supports academic research in computer science, engineering, and related fields. Through the program, the institution fund world-class research at top universities, facilitate interaction between Google and academia, and support projects whose output will be made openly available to the research community. Awards are structured as unrestricted gifts to universities and are designed to support roughly the cost of one graduate student for one year of work.
Google’s Faculty Research Awards program funds work in Computer Science, Engineering, and related fields. Awards tend to go to projects that are highly technical."</t>
  </si>
  <si>
    <t>Walfish Grants Program</t>
  </si>
  <si>
    <t>For graduate students and early career (within 10 years of PhD.)
"The Steven O. Walfish Grants supported by the Division 42 Next Generation Fund promote and support the next generation of student and early career practitioner psychologists to expand the knowledge base in the practice of psychology."</t>
  </si>
  <si>
    <t>Society of Architectural Historians</t>
  </si>
  <si>
    <t>H. Allen Brooks Travelling Fellowship</t>
  </si>
  <si>
    <t>"The Society of Architectural Historians’ prestigious H. Allen Brooks Travelling Fellowship will be offered for 2017 and will allow a recent graduate or emerging scholar to study by travel for one year. The fellowship is not for the purpose of doing research for an advanced academic degree. Instead, Professor Brooks intended the recipient to study by travel and contemplation while observing, reading, writing, or sketching. 
The goals are to provide an opportunity for a recent graduate with an advanced degree or an emerging scholar to:
see and experience architecture and landscapes firsthand
think about their profession deeply
acquire knowledge useful for the recipient’s future work, contribution to their profession, and contribution to society
The fellowship recipient may travel to any country or countries during the one-year period."</t>
  </si>
  <si>
    <t>Grammy Museum</t>
  </si>
  <si>
    <t>Music Research and Music Preservation</t>
  </si>
  <si>
    <t>Harpo Foundation</t>
  </si>
  <si>
    <t>$500/one month plus room and work space</t>
  </si>
  <si>
    <t>"provide an annual opportunity to an emerging visual artist 25 years and older who needs time and space to explore ideas and start new projects.  Artist Fellows will receive a one-month residency at the Santa Fe Art Institute, which includes a private room and bath, a private studio space, and a $500 travel stipend. Founded in 1985, the Santa Fe Art Institute (SFAI) provides a unique opportunity for emerging artists to pursue creative projects without interruption. SFAI supports over 50 residents per year and offers a cohesive, arts-focused environment that creates the ideal working conditions for resident artists. Living and studio space is located within a nearly 17,000 square foot complex designed by renowned Mexican architect, Ricardo Legoretta. The unique SFAI environment allows residents to be as interactive or private as they wish. There are no requirements on the work produced during their time at SFAI."</t>
  </si>
  <si>
    <t>Truman Library Institute</t>
  </si>
  <si>
    <t>Visiting Fellowship</t>
  </si>
  <si>
    <t xml:space="preserve">stipend, travel, health insurance, partial housing </t>
  </si>
  <si>
    <t>"the Kellogg Institute for International Studies has offered visiting fellowships to promote interdisciplinary international research in a supportive community of scholars. This widely respected residential program offers you time to pursue scholarly inquiry where it takes you, advance your personal research, and collaborate with other scholars and practitioners from across the US and around the globe.
As a visiting fellow, you pursue research related to Kellogg Institute themes of democracy and human development, share your research with the Notre Dame scholarly community, and have the opportunity to publish in Kellogg’s peer-reviewed Working Paper Series." ... "We expect fellows to attend and participate in the weekly seminar and lecture series and most Kellogg events."</t>
  </si>
  <si>
    <t>American Councils Research</t>
  </si>
  <si>
    <t xml:space="preserve">Fellowship travel
</t>
  </si>
  <si>
    <t>$5,000-25,000</t>
  </si>
  <si>
    <t>"Funded by the U.S. Department of State’s Program for Research and Training on Eastern Europe and the Independent States of the Former Soviet Union (Title VIII), the American Councils Research Scholar Program provides full support for graduate students, faculty, and independent scholars seeking to conduct in-country, independent research for three consecutive months to nine consecutive months in Russia, Eurasia, and Eastern Europe."</t>
  </si>
  <si>
    <t>Chemical Catalysis</t>
  </si>
  <si>
    <t xml:space="preserve"> Chemical Structure, Dynamics, and Mechanisms (CSDM-A)</t>
  </si>
  <si>
    <t>Chemical Structure, Dynamics, and Mechanisms (CSDM-B)</t>
  </si>
  <si>
    <t>Chemical Synthesis</t>
  </si>
  <si>
    <t>Chemical Theory, Models, and Computational Methods</t>
  </si>
  <si>
    <t>Division of Mathematical Sciences Analysis Program</t>
  </si>
  <si>
    <t>travel, lodging, meals at 4 gatherings</t>
  </si>
  <si>
    <t>"The Obama Foundation Fellows will be a diverse set of community-minded rising stars – organizers, inventors, artists, entrepreneurs, journalists, and more – who are altering the civic engagement landscape. By engaging their fellow citizens to work together in new and meaningful ways, Obama Foundation Fellows will model how any individual can become an active citizen in their community....
Our two-year, non-residential Fellowship will offer hands-on training, resources, and leadership development. Fellows will also participate in four multi-day gatherings where they will collaborate with each other, connect with potential partners, and collectively push their work forward. Throughout the program, each Fellow will pursue a personalized plan to leverage Fellowship resources to take their work to the next level."</t>
  </si>
  <si>
    <t>Improving Undergraduate STEM Education: Pathways into Geoscience</t>
  </si>
  <si>
    <t>institutional
research</t>
  </si>
  <si>
    <t>Lyle Spencer Research Awards</t>
  </si>
  <si>
    <t>General
Education</t>
  </si>
  <si>
    <t>$100,000-$1,000,000</t>
  </si>
  <si>
    <t>"The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
The Lyle Spencer Research Awards “support intellectually ambitious, large-scale education research projects with budgets between $100,000 and $1,000,000. This program encourages proposals initiated by scholars across a variety of disciplines and fields in an effort to create much-needed space for creative and ambitious research projects that promise to advance our understanding of educational practice and its improvement.”</t>
  </si>
  <si>
    <t>Soros Justice Fellowship</t>
  </si>
  <si>
    <t>$52,500-120,000</t>
  </si>
  <si>
    <t>"The Soros Justice Fellowships fund outstanding individuals to undertake projects that advance reform, spur debate, and catalyze change on a range of issues facing the U.S. criminal justice system.... The Soros Justice Advocacy Fellowships fund lawyers, advocates, grassroots organizers, researchers, and others with unique perspectives to undertake full-time criminal justice reform projects at the local, state, and national levels.... The Soros Justice Media Fellowships support writers, print and broadcast journalists, artists, filmmakers, and other individuals with distinctive voices proposing to complete media projects that engage and inform, spur debate and conversation, and catalyze change on important U.S. criminal justice issues.... The Soros Justice Youth Activist Fellowships, in partnership with the Open Society Youth Exchange, support outstanding individuals aged 18 to 25 to take on projects of their own design that address some aspect of the U.S. criminal justice system."</t>
  </si>
  <si>
    <t>Chiang Ching-kuo Foundation for International Scholarly Exchange</t>
  </si>
  <si>
    <t>Rockefeller Archive Center</t>
  </si>
  <si>
    <t>Grants-in-Aid for Research</t>
  </si>
  <si>
    <t>Notre Dame Institute for Advanced Study</t>
  </si>
  <si>
    <t>Research Support Fellowship</t>
  </si>
  <si>
    <t>&lt;$60,000 plus $1,000 research costs</t>
  </si>
  <si>
    <t>"for scholars, artists, and scientists pursuing outstanding research in all disciplines — including the arts, engineering, humanities, law, and formal, natural, and social sciences — with projects that are creative, innovative, or align with the intellectual orientation of the NDIAS. Projects that integrate questions of value, meaning, or purpose in the analyses are encouraged. The Institute seeks applicants with excellent records of accomplishment pursuing fellowships for periods ranging from three weeks to a full academic year."</t>
  </si>
  <si>
    <t>The Health of Sexual and Gender Minority (SGM) Populations R21 and R03</t>
  </si>
  <si>
    <t>Ethical, Legal, and Social Implications of Genomic Research Small Research Grant Program</t>
  </si>
  <si>
    <t>Paleo Perspectives on Climate Change</t>
  </si>
  <si>
    <t>Environmental Sustainability</t>
  </si>
  <si>
    <t>Sciences
Environmental Science</t>
  </si>
  <si>
    <t>Fluid Dynamics</t>
  </si>
  <si>
    <t>&lt;$100,000</t>
  </si>
  <si>
    <t>"The program supports the study and discussion of important humanities sources about war, in the belief that these sources can help U.S. military veterans and others think more deeply about the issues raised by war and military service. Although the program is primarily designed to reach military veterans, men and women in active service, military families, and interested members of the public may also participate.
The program awards grants of up to $100,000 that will support
the convening of at least two discussion programs for no fewer than fifteen participants; and
the creation of a preparatory program to recruit and train program discussion leaders (NEH Discussion Leaders).
Discussion programs may take place on college and university campuses, in veterans’ centers, at public libraries and museums, and at other community venues."</t>
  </si>
  <si>
    <t>Richard L. Blinder Award</t>
  </si>
  <si>
    <t>European University Institute</t>
  </si>
  <si>
    <t>€2,000/month plus family allowance</t>
  </si>
  <si>
    <t>"The Max Weber Programme is the largest international postdoctoral programme in the Social Sciences and Humanities in Europe. It offers around 50-55 fully funded Fellowships to suitably qualified researchers from anywhere in the world who work in or across the relevant disciplines of the EUI (Economics, History, Law and Social and Political Sciences and their subfields). The working language of the Programme is English.
The aim of the MWP is to provide Fellows with the experience of membership of a vibrant academic community, to which they make a central contribution. It is unique in offering a structured Programme covering all aspects of an academic career, including support for academic writing in English, applying for research grants,  the opportunity to teach in some of Europe’s leading universities and to develop a strategy for a successful approach to the academic labour market."</t>
  </si>
  <si>
    <t>"The Division of Earth Sciences (EAR) awards Postdoctoral Fellowships to recent recipients of doctoral degrees to carry out an integrated program of independent research and professional development.  Fellowship proposals must address scientific questions within the scope of EAR disciplines and must align with the overall theme for the postdoctoral program. The program supports researchers for a period of up to two years with fellowships that can be taken to the institution of their choice (including institutions abroad). The program is intended to recognize beginning investigators of significant potential, and provide them with research experience, mentorship, and training that will establish them in leadership positions in the Earth Sciences community."</t>
  </si>
  <si>
    <t>Division of Physics Investigator-Initiated Research Projects</t>
  </si>
  <si>
    <t>Experimental Elementary Particle Physics</t>
  </si>
  <si>
    <t>Quentin Skinner Fellowship in Intellectual History Since 1500</t>
  </si>
  <si>
    <t>"This fellowship is now known as the Quentin Skinner Fellowship in Intellectual History since c1500.  Like the Balzan-Skinner scholar the Quentin Skinner fellow will hold a Visiting Fellowship at CRASSH for one term, present the Quentin Skinner lecture, as well as organise and participate  in the related symposium."
Cambridge, England</t>
  </si>
  <si>
    <t>National Academies of Sciences, Engineering, and Medicine</t>
  </si>
  <si>
    <t>Jefferson Science Fellowship</t>
  </si>
  <si>
    <t>In conjunction with the U.S. Department of State and the U.S. Agency for International Development (USAID)
"Selected Jefferson Science Fellows spend one year on assignment at the U.S. Department of State or USAID as science advisors on foreign policy/international development issues. Assignments are tailored to the needs of the hosting office, while taking into account the Fellows’ interests and areas of expertise. As part of their assignments, Fellows also have the opportunity to travel to U.S. embassies and missions overseas. Following the fellowship year, Fellows will return to their academic career but will remain available to the U.S. government as an experienced consultant for short-term projects."</t>
  </si>
  <si>
    <t>Honeybee Conservancy Sponsor a Hive</t>
  </si>
  <si>
    <t>Bee Partnership</t>
  </si>
  <si>
    <t>project? programming?</t>
  </si>
  <si>
    <t>"The Sponsor-A-Hive program provides honey bees, mason bees and/or leafcutter bees, their homes, bee keeping equipment and information on how to care for the bees.  Bees are strategically placed in locations where they can bolster bee populations, advance science and environmental education and pollinate locally grown food.  
Also provided is our Sponsor-A-Hive Teacher’s Kit, which is full of lesson plans and worksheets to teach students more about their bee home. It’s designed to build reading and science skills, raise environmental awareness, and empower students to help the bees."</t>
  </si>
  <si>
    <t>Chemical Measurement and Imaging</t>
  </si>
  <si>
    <t>Chemistry of Life Processes</t>
  </si>
  <si>
    <t>Macromolecular, Supramolecular, and Nanochemistry</t>
  </si>
  <si>
    <t>Environmental Chemical Sciences</t>
  </si>
  <si>
    <t>Computational and Data-Enabled Science and Engineering Division of Chemistry, Chemical Measurement, and imaging</t>
  </si>
  <si>
    <t>Computational and Data-Enabled Science and Engineering Division of Materials Research</t>
  </si>
  <si>
    <t>Computational and Data-Enabled Science and Engineering Division of Mathematical Sciences</t>
  </si>
  <si>
    <t>Math+X Investigators</t>
  </si>
  <si>
    <t>$300,000/year for 5 years</t>
  </si>
  <si>
    <t>"This program is designed to encourage novel collaborations between mathematics and other fields in science or engineering by providing funds to professors to establish programs at the interface between mathematics and other fields of science or engineering."</t>
  </si>
  <si>
    <t xml:space="preserve">Council on Foreign Relations </t>
  </si>
  <si>
    <t>International Affairs Fellowship</t>
  </si>
  <si>
    <t>mid-career</t>
  </si>
  <si>
    <t>"Established in 1967, the International Affairs Fellowship (IAF) is the hallmark fellowship program of CFR. It aims to bridge the gap between the study and making of U.S. foreign policy by creating the next generation of scholar-practitioners. The program offers its fellows the unique chance to experience a new field and gain a different perspective at a pivotal moment in their careers. Academics are thus placed in public service and policy-oriented settings, while government officials are placed in scholarly settings."</t>
  </si>
  <si>
    <t>Institute for Advanced Study School of Historical Studies</t>
  </si>
  <si>
    <t>Membership</t>
  </si>
  <si>
    <t>&lt;$75,000</t>
  </si>
  <si>
    <t>"THE SCHOOL OF HISTORICAL STUDIES supports scholarship in all fields of historical research, but is concerned principally with the history of western, near eastern and Asian civilizations, with particular emphasis upon Greek and Roman civilization, the history of Europe (medieval, early modern, and modern), the Islamic world, East Asian studies, art history, the history of science and philosophy and modern international relations. The School also offers the Edward T. Cone Membership in Music Studies. Each year the School welcomes approximately forty Members selected on the basis of both external and internal review. Most are working on topics in the above mentioned fields, but each year the School also selects some scholars working in other areas of historical research."</t>
  </si>
  <si>
    <t>American Academy in Rome</t>
  </si>
  <si>
    <t>Rome Prize</t>
  </si>
  <si>
    <t>$16,000 half-term
$28,000 full-term plus room, board, work space</t>
  </si>
  <si>
    <t>"For over a century, the AMERICAN ACADEMY IN ROME has awarded the Rome Prize to support innovative and cross-disciplinary work in the arts and humanities. Rome Prize Fellowships include a stipend, room and board, and an individual work space at AAR’s eleven-acre campus in Rome. 
Fellowships are awarded in the following disciplines:
Ancient Studies 
Architecture 
Design (includes graphic, industrial, interior, exhibition, set, costume, and fashion design, urban design, city planning, engineering, and other design fields)
Historic Preservation and Conservation
Landscape Architecture (includes environmental design and planning, landscape/ecological urbanism, landscape history, sustainability and ecological studies, and geography)
Literature (includes fiction, literary nonfiction, and poetry)
Medieval Studies
Modern Italian Studies
Musical Composition 
Renaissance and Early Modern Studies
Visual Arts (includes painting, sculpture, drawing, photography, film/video, installation, new media, digital arts, and other visual arts fields)"</t>
  </si>
  <si>
    <t>Loeb Classical Library Foundation Fellowship</t>
  </si>
  <si>
    <t>Humanities
Classics</t>
  </si>
  <si>
    <t>aculty or faculty emeritus</t>
  </si>
  <si>
    <t>$1,000 to $35,000</t>
  </si>
  <si>
    <t>awards fellowships to qualified scholars to support research, publication, and other projects in the area of classical studies.</t>
  </si>
  <si>
    <t>Institute for Advanced Study School of Natural Sciences</t>
  </si>
  <si>
    <t>IAS encourages applicants to submit by 10/15
“Founded in 1973, the School of Social Science takes as its mission the analysis of contemporary societies and social change. It is devoted to a pluralistic and critical approach to social research, from a multidisciplinary and international perspective…. To facilitate scientific engagement among the visiting scholars, the School defines a theme for each year. Approximately one half of Members selected pursue work related to it and contribute to a corresponding seminar.”</t>
  </si>
  <si>
    <t xml:space="preserve">W.M. Keck Foundation </t>
  </si>
  <si>
    <t>Research Program</t>
  </si>
  <si>
    <t>$500,000 - $2M</t>
  </si>
  <si>
    <t>"The Research Program seeks to benefit humanitiy by supporting projects in two specific areas (1) medical research and (2) science and engineering, that are distinctinve and novel in their approach, question the prevailing paradign, or have the potential to break open new territory in their field."</t>
  </si>
  <si>
    <t>National Radio Astronomy Observatory</t>
  </si>
  <si>
    <t>Jansky Fellowship</t>
  </si>
  <si>
    <t>Sciences
Astronomy</t>
  </si>
  <si>
    <t>Fellowship on site (with exceptions)</t>
  </si>
  <si>
    <t>The Jansky Fellowship Program supports outstanding postdoctoral scientists whose research is broadly related to the mission and scientific goals of the National Radio Astronomy Observatory (NRAO), which operates two world-class research facilities: the Atacama Large Millimeter/submillimeter Array and the Very Large Array.
As a Jansky Fellow, you will have a unique opportunity to contribute to and learn from the development and delivery of the largest and most capable radio telescopes in the world. Research that employs NRAO telescopes in multi-wavelength collaborations is encouraged. Candidates with interests in radio astronomy techniques, instrumentation, computation, and theory are encouraged to apply. Applicants should describe how their research or technical interests couple with NRAO telescopes or science.
Appointments may be made at either of the NRAO sites: Socorro, NM, or Charlottesville, VA. In compelling cases, a ‘split appointment’ Jansky Fellowship split between a university and an NRAO site, or a ‘non-resident’ Jansky Fellowship hosted at a university within the United States may be offered. Non-resident Jansky Fellows are encouraged to develop a research program that fosters close ties with the NRAO, and should present a compelling case why residence at their proposed host university will accomplish this.  They are also strongly encouraged to make frequent and/or long term visits to NRAO sites during their Fellowship.</t>
  </si>
  <si>
    <t>American Chemical Association/The Camille and Henry Dreyfus Foundation</t>
  </si>
  <si>
    <t>Award for Encouraging Women into Careers in the Chemical Sciences</t>
  </si>
  <si>
    <t>Carmi Harari Early and Mid-Career Awards</t>
  </si>
  <si>
    <t>&lt;10
10-20</t>
  </si>
  <si>
    <t xml:space="preserve">"The Div. 32 Carmi Early and Mid-Career Awards are given for contributions in the areas of inquiry, application and social action. The Div. 32 Early Career Award is given to psychologists, no more than 10 years after receiving their PhD. The Div. 32 Mid-Career Award is given to psychologists, 10-20 years after receiving their PhD.... Awards are given to a psychologist, or a team of psychologists, whose innovative applications in the area of psychological practice and education include, but are not limited to: assessment, consultation, instruction, intervention, and prevention. The original development of procedures, methodologies or technical skills that significantly improve the application of psychological knowledge providing direct and immediate solutions to actualizing the full human potential will be considered; as well as research informing psychologists how to better observe, define, and actualize the human spirit.“  </t>
  </si>
  <si>
    <t>APA Travel Grants for US Psychologists to Attend International Conferences</t>
  </si>
  <si>
    <t>"This award will cover or partially cover conference registration fees at international conferences held outside the United States and Canada for U.S.-based psychologists…. APA and APAGS members are eligible to apply. A conference presentation is not required, although preference will be given according to the following criteria.
1.	Significant contribution to the conference program (e.g., first author, symposium chair, roundtable moderator).
2.	Have not attended an international conference in the past two years.
3.	Early career or graduate student psychologist."</t>
  </si>
  <si>
    <t>"A pre- or post-doctoral fellowship for study of archaeology and classical studies, awarded every other year, has been established by the Institute at the American Academy in Rome. This fellowship, with other funds from the American Academy in Rome, will support a Rome Prize Fellowship."</t>
  </si>
  <si>
    <t>Archealogy of Portugal Fellowships</t>
  </si>
  <si>
    <t>$2,000-7,500</t>
  </si>
  <si>
    <t>"To support projects pertaining to the archaeology of Portugal, to be conducted between July 1 of the award year and the following June 30. These include, but are not limited to, research projects, colloquia, symposia, publication, and travel for research or to academic meetings for the purpose of presenting papers on the archaeology of Portugal."</t>
  </si>
  <si>
    <t>early career (preference given to &lt;5 years postdoc)</t>
  </si>
  <si>
    <t>"For travel and study to be conducted between July 1 of the award year and the following June 30. Preference will be given to projects of at least a half-year's duration. The award is to be used for travel and study in Greece (the modern state), Cyprus, the Aegean Islands, Sicily, southern Italy (that is, the Italian provinces of Campania, Molise, Apulia, Basilicata, and Calabria), Asia Minor (Turkey) or Mesopotamia (that is, the territory between the Tigris and Euphrates rivers, that is modern Iraq and parts of northern Syria and eastern Turkey)."</t>
  </si>
  <si>
    <t>"offers five Solmsen Fellowships each year to scholars outside UW-Madison working in the humanities on European history and culture in the classical, medieval, and/or early modern periods before 1700. Projects on the relationship of pre-1700 Europe to other parts of the world are also welcome. 
Fellows are expected to be in residence throughout the academic year (except for short research trips, lectures, conferences, etc.) and may extend their residency through the following summer on a non-stipendary basis."</t>
  </si>
  <si>
    <t>National Council of Teachers in Mathematics</t>
  </si>
  <si>
    <t>Pre-K-6 Classroom Research</t>
  </si>
  <si>
    <t>"The purpose of this grant is to support and encourage classroom-based research in precollege mathematics education in collaboration with college or university mathematics educators. For 2018-19, grants with a maximum of $6,000 each will be awarded to mathematics educators or classroom teachers* currently teaching mathematics at the grades Pre-K-6 level. The research must be a collaborative effort involving a college or university mathematics educator (a mathematics education researcher or a teacher of mathematics learning, teaching, or curriculum) and one or more grades Pre-K-6 classroom teachers."</t>
  </si>
  <si>
    <t>Center for Ethics &amp; Education</t>
  </si>
  <si>
    <t>The Center will make awards of up to $40,000 for research projects in philosophy as it relates to educational policy and practice. We encourage applicants to understand educational policy and practice in broad terms, including issues that directly relate to K-12 schools and higher education institutions, but also concerning policies that influence children’s growth and development in the family and other institutions. We also encourage diverse kinds of philosophical research ranging from the highly abstract to the highly applied.</t>
  </si>
  <si>
    <t>Pershing Square Sohn Cancer Research Society</t>
  </si>
  <si>
    <t>Prize for Young Investigators in Cancer Research</t>
  </si>
  <si>
    <t>$200,000/ year for up to 3 years</t>
  </si>
  <si>
    <t>"The Pershing Square Sohn Prize for Young Investigators in Cancer Research provides New York area-based early career scientists the freedom to take risks and pursue their boldest research at a stage when traditional funding is lacking."</t>
  </si>
  <si>
    <t>Research Education Program, National Institute of Allergy and Infectious Disease</t>
  </si>
  <si>
    <t>Blueprint for Neuroscience Research</t>
  </si>
  <si>
    <t>up to $25,000 for conferences; $10,000 to $15,000 for workshops and seminars; up to $6,000 for planning meetings</t>
  </si>
  <si>
    <t>ACLS invites proposals in the humanities and related social sciences that adopt an explicitly cross-cultural or comparative perspective. Projects may, for example, compare aspects of Chinese history and culture with those of other nations and civilizations, explore the interaction of these nations and civilizations, or engage in cross-cultural research on the relations among the diverse and dynamic populations of China.</t>
  </si>
  <si>
    <t>Newberry Library</t>
  </si>
  <si>
    <t>Short-Term Fellowship</t>
  </si>
  <si>
    <t>$2,500/one month</t>
  </si>
  <si>
    <t>"Short-Term Fellowships provide opportunities for individuals who have a specific need for the Newberry’s collection. Postdoctoral scholars, PhD candidates, and scholars with terminal degrees who live and work outside of the Chicago metropolitan area are eligible."</t>
  </si>
  <si>
    <t>American Association of University Women</t>
  </si>
  <si>
    <t>American Fellowships Postdoctoral Research Leave Fellowship</t>
  </si>
  <si>
    <t>non-tenured</t>
  </si>
  <si>
    <t>"The primary purpose of the Postdoctoral Research Leave Fellowship is to increase the number of women in tenure-track faculty positions and to promote equality for women in higher education. This fellowship is designed to assist the candidate in obtaining tenure and further promotions by enabling her to spend a year pursuing independent research."</t>
  </si>
  <si>
    <t>Summer/Short-Term Research Publication Grants</t>
  </si>
  <si>
    <t>"Summer/Short-Term Research Publication Grants provide support to scholars to prepare research manuscripts for publication and to independent researchers to prepare research for publication. Preference will be given to applicants whose work supports the vision of AAUW: to break through educational and economic barriers so that all women have a fair chance."</t>
  </si>
  <si>
    <t>Ecology and Evolution of Infectious Diseases</t>
  </si>
  <si>
    <t>Astronomy and Astrophyics Grants</t>
  </si>
  <si>
    <t>William H. Johnson Foundation for the Arts</t>
  </si>
  <si>
    <t>Prize</t>
  </si>
  <si>
    <t>American Psychiatric Association</t>
  </si>
  <si>
    <t>Kempf Fund Award</t>
  </si>
  <si>
    <t>Network of Ensemble Theaters</t>
  </si>
  <si>
    <t>Exchange Grants</t>
  </si>
  <si>
    <t>"Builds on a prior relationship or deepen an existing relationship, in order to go deeper into a technique or methodology, follow a mutual interest, build a shared work, present a performance, approaches to shared or rotating leadership, training in consensus decision-making, use of non-traditional structures, etc. Exchange Grants are designed to allow lead applicants and partners to take financial risks, to explore something beyond what they are already doing, and/or to more fully capitalize collaborations. Applications are to be written and submitted jointly by two or more partners."</t>
  </si>
  <si>
    <t xml:space="preserve">Sciences
Health and Medicine
</t>
  </si>
  <si>
    <t>junior faculty</t>
  </si>
  <si>
    <t>up to $100,000</t>
  </si>
  <si>
    <t>The major goal of this program is to assist in the development of the careers of junior investigators committed to pursuing careers in the field of aging research. GMRF and AFAR support research projects concerned with understanding the basic mechanisms of aging. Projects investigating age-related diseases are also supported, especially if approached from the point of view of how basic aging processes may lead to these outcomes.</t>
  </si>
  <si>
    <t>Scholarly Editions and Translations Grants</t>
  </si>
  <si>
    <t>Scholarly Editions and Translations grants support the preparation of editions and translations of pre-existing texts of value to the humanities that are currently inaccessible or available only in inadequate editions or transcriptions. Typically, the texts and documents are significant literary, philosophical, and historical materials; but other types of work, such as musical notation, are also eligible.
Projects must be undertaken by at least one editor or translator and one other collaborating scholar. These grants support full-time or part-time activities for periods of one to three years.</t>
  </si>
  <si>
    <t xml:space="preserve">Adolph and Esther Gottlieb Foundation </t>
  </si>
  <si>
    <t>Individual Support Grants</t>
  </si>
  <si>
    <t>"The Beyster fellowships are awarded to outstanding Ph.D. candidates or postdoctoral scholars in the areas of economics, history, management, business and labor relations, law, philosophy, psychology, political science, public policy, and sociology studying employee ownership and related ideas such as profit sharing and broad-based stock options in the corporation and society in the United States. The fellowships permit the students to associate with several scholars engaged in this area of research at Rutgers and receive mentoring and support.... [The Postdoctoral Fellowship] will support pre-tenure scholars and recent Ph.D. graduates.The stipend is $25,000 for one year and can be used for research, travel, and living expenses. The fellow can be a resident at Rutgers University or at their home institution. The period and length of residency varies.... [The Visiting Professor] supports a scholar who holds an academic appointment at another university and visits Rutgers in order to collaborate with researchers at the university."</t>
  </si>
  <si>
    <t>Creative Arts
Dance</t>
  </si>
  <si>
    <t>room &amp; board</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</si>
  <si>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Dance brings together ten accomplished dance artists from around the world for three weeks of creative exchange each summer. Residents experience each other’s creative process and the freedom to play in this collaborative residency program."</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</si>
  <si>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Music invites twelve to fifteen musicians and composers from around the globe to come together for two and a half weeks each summer for a uniquely collaborative music making residency."</t>
  </si>
  <si>
    <t xml:space="preserve">Yale Center for British Art </t>
  </si>
  <si>
    <t>travel, board, living allowance for one to four months</t>
  </si>
  <si>
    <t>"Visiting Scholar Awards provide academic, museum, and independent scholars, as well as doctoral students, working in any field related to British art an opportunity to study the Center’s collection."</t>
  </si>
  <si>
    <t>A&amp;H</t>
  </si>
  <si>
    <t>$4200/month for 4-12 months</t>
  </si>
  <si>
    <t>A period of residence to use the AAS library's resources for research and writing.</t>
  </si>
  <si>
    <t xml:space="preserve">Winterthur </t>
  </si>
  <si>
    <t>Short-Term Research Fellowship</t>
  </si>
  <si>
    <t>$1,750/month</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</si>
  <si>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"Academic, museum, and independent scholars, including graduate students receive one- to three-month short term fellowships."</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</si>
  <si>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"These 1-3 month fellowships are designed for artists, writers, filmmakers, horticulturalists, craftspeople, and others who wish to examine, study, and immerse themselves in Winterthur’s vast collections in order to inspire creative and artistic works for general, non-academic audiences. The aim of this initiative is to open our collections to a wider audience who can interpret the past and our collections in unique and imaginative ways outside of traditional academic avenues."</t>
  </si>
  <si>
    <t>Science
Psychology</t>
  </si>
  <si>
    <t>For over half a century, the James McKeen Cattell Fund has provided support for the science and the application of psychology. The Fund offers a program of supplementary sabbatical awards ("James McKeen Cattell Fund Fellowships"). These awards supplement the regular sabbatical allowance provided by the recipients' home institutions, to allow an extension of leave-time from one to two semesters.</t>
  </si>
  <si>
    <t>International Communication Association</t>
  </si>
  <si>
    <t>James W. Carey Urban Communication Grant</t>
  </si>
  <si>
    <t>“This grant supports communication research that enhances urban social interaction and civic engagement in an age of global communication. It encourages applied research on the role of human communication in urban environments at a time when media technologies alter the parameters of community of all kinds….
With an award of up to $2,500, this grant facilitates research in progress or in the planning stages. It gives priority to projects that feature innovation and creative approaches to studying the central role of human communication in the transformation of urban cultures and communities. Proposals from developing nations are encouraged.”</t>
  </si>
  <si>
    <t>2/15/17 
Not published for 2018 yet</t>
  </si>
  <si>
    <t>"Cultivating Cultures for Ethical STEM (CCE STEM) funds research projects that identify factors that are efficacious in the formation of ethical STEM researchers in all the fields of science and engineering that NSF supports. CCE STEM solicits proposals for research that explores the following: ‘What constitutes ethical STEM research and practice, and which cultural and institutional contexts promote ethical STEM research and practice and why?'  Factors one might consider include:  honor codes,  professional ethics codes and licensing requirements, an ethic of service and/or service learning, life-long learning requirements,  curricula or memberships in organizations (e.g. Engineers without Borders) that stress social responsibility and  humanitarian goals,  institutions that  serve  under-represented groups,  institutions where academic and research integrity are cultivated at multiple levels,  institutions that cultivate ethics across the curriculum, or programs that promote group work, or do not grade.  Do certain labs have a ‘culture of academic integrity'? What practices contribute to the establishment and maintenance of ethical cultures and how can these practices be transferred, extended to, and integrated into other research and learning settings?"</t>
  </si>
  <si>
    <t>2018 cycle TBA</t>
  </si>
  <si>
    <t>American Foundation for Suicide Prevention</t>
  </si>
  <si>
    <t>Focus Grants</t>
  </si>
  <si>
    <t>up to $500,000/year for 3 years</t>
  </si>
  <si>
    <t>The Focus Grant for Short-Term Risk is open to innovative, potentially high-yield proposals that focus on short-term risk for suicide.</t>
  </si>
  <si>
    <t>By invitation</t>
  </si>
  <si>
    <t xml:space="preserve">Whiting </t>
  </si>
  <si>
    <t>Creative Nonfiction Grant</t>
  </si>
  <si>
    <t>Do not accept unsolicited applications.  They have invited Barnard to submit in the past in March. 
"The Whiting Creative Nonfiction Grant of $40,000 is awarded to writers in the process of completing a book of deeply researched and imaginatively composed nonfiction. The Whiting Foundation recognizes that these works are essential to our culture, but come into being at great cost to writers in time and resources. The grant is intended to encourage original and ambitious projects by giving recipients the additional means to do exacting research and devote time to composition."</t>
  </si>
  <si>
    <t>The Teagle Foundation's grantmaking initiatives aim to strengthen teaching and learning in the arts and sciences and ensure the benefits of a liberal arts education are broadly accessible. "Proposals are welcomed by invitation and typically reflect a collaboration of four to six colleges/universities that exhibit an alignment of priorities and draw participants together as a community of practice. Although partners share goals, their project execution may vary from campus to campus, given their unique contexts."</t>
  </si>
  <si>
    <t>June 2018?</t>
  </si>
  <si>
    <t xml:space="preserve">Organic Farming Research Foundation </t>
  </si>
  <si>
    <t>Sciences
Agriculture</t>
  </si>
  <si>
    <t>"Since 1988, the SARE grants and education program has advanced agricultural innovation that promotes profitability, stewardship of the land, air and water, and quality of life for farmers, ranchers and their communities.”  Organic Faming Research Foundation accepts preprosals—”a short preliminary concept document that allows SARE reviewers to select the most promising projects that offer strong justifications, a clear performance target, and effective approaches.
Projects must explore and improve on sustainable practices in agriculture or seek wider adoption or mainstreaming of sustainable practices. Practices to be adopted may be related to production, marketing, finances, or social/quality of life issues. There are eight sections in a preproposal, each with a word limit.”</t>
  </si>
  <si>
    <t>March TBA</t>
  </si>
  <si>
    <t>Area Studies
Arts &amp; Humanities</t>
  </si>
  <si>
    <t>The Harriman Institute seeks to support the faculty and associated faculty of the institute through a number of research funding opportunities, including the Harriman curriculum development grant, the Russian studies research grant, the PepsiCo fellowships for research travel/study, Tymkiw Ukrainian Fellowships, and faculty publication grants.</t>
  </si>
  <si>
    <t>Roling</t>
  </si>
  <si>
    <t>PROCESS BEING OVERHAULED--CHECK AUGUST 1
"The RSA–Bodleian Library Research Fellowship supports a one-month residence in Oxford by a member of the RSA for the purposes of research in the Special Collections of the Bodleian Library."</t>
  </si>
  <si>
    <t>Rolling</t>
  </si>
  <si>
    <t>PROCESS BEING OVERHAULED--CHECK AUGUST 1
"The RSA–Kress New York Public Library Grant supports a one-month residency in New York City by a member of the Renaissance Society of America for the purposes of Art History research....
The Library's special collections hold a number of items of interest for Renaissance scholars in the Spencer Collection, Manuscript and Archives Division and Rare Book Division. Highlights include the 1481 copperplate edition of Dante’s Divina Commedia,  Albrecht Dürer’s three great woodcut albums, and account books of British nobility that illustrate day-to-day life."</t>
  </si>
  <si>
    <t>University of Florida Samuel Proctor Oral History Program</t>
  </si>
  <si>
    <t>Julian Pleasants Travel Award</t>
  </si>
  <si>
    <t>"On a bi-yearly basis, the Samuel Proctor Oral History Program grants a researcher with the Julian Pleasants Travel Award, designed to promote cutting edge oral history research at the University of Florida and recognize innovative scholarship.... The award includes a stipend of $1,000. Competition is open to graduate students, faculty, and independent scholars at UF and throughout the United States."</t>
  </si>
  <si>
    <t>rolling</t>
  </si>
  <si>
    <t>PROCESS BEING OVERHAULED--CHECK AUGUST 1
"This fellowship of $3,000 will support a one-month residence of full-time research in the CRRS collections at Victoria College in the University of Toronto and at other research libraries in the University of Toronto system.... All fellows are invited to participate in the activities of the CRRS, thereby sharing their knowledge and research with other scholars and students. Scholars of all disciplines in early modern studies are welcome."</t>
  </si>
  <si>
    <t>PROCESS BEING OVERHAULED--CHECK AUGUST 1
"This fellowship offers a one-month residence of full-time research in the Newberry’s collections.... Applicants are also welcome to apply directly to the Newberry for additional short-term fellowships."</t>
  </si>
  <si>
    <t>PROCESS BEING OVERHAULED--CHECK AUGUST 1
"This fellowship provides a one-month residence for full-time research in the Huntington’s collections. Candidates are welcome to apply to the Huntington Library for a supplementary fellowship of up to five months under the Huntington’s own fellowship program."</t>
  </si>
  <si>
    <t>Chung-Hwa Institute of Budhist Studies</t>
  </si>
  <si>
    <t>Grant for Book-length Monographs</t>
  </si>
  <si>
    <t>International Documentary Association</t>
  </si>
  <si>
    <t>Pare Lorentz Documentary Fund</t>
  </si>
  <si>
    <t>Max Kade Foundation</t>
  </si>
  <si>
    <t>"The Foundation supports initiatives which promote international understanding by sponsoring exchange programs between Germany, Austria and the United States such as post-doctoral research exchange programs, visiting faculty exchange programs, and exchange programs of undergraduate and graduate students both here and abroad."</t>
  </si>
  <si>
    <t>New York Council for the Humanities</t>
  </si>
  <si>
    <t>New York Council for the Humanities Vision and Action Grants</t>
  </si>
  <si>
    <t>Confirm that applications are still accepted</t>
  </si>
  <si>
    <t>Arts &amp; Humanities
Area Studies
Social Sciences</t>
  </si>
  <si>
    <t>collaborative research funding</t>
  </si>
  <si>
    <t>The European Institute offers grants to members of the Columbia and Barnard faculties for collaborative research projects such as workshops and conferences. EI Faculty Research Grants support projects that address a topic on the scale of Europe as a whole, an issue of concern to the entire region, or that take a new approach to its relations with other world regions. Projects may be pursued at Columbia or under the auspices of Columbia’s Global Centers Paris and Istanbul and in cooperation with other Global Centers. Projects involving participants from European institutions are prioritized.</t>
  </si>
  <si>
    <t xml:space="preserve">Arch and Bruce Brown Foundation </t>
  </si>
  <si>
    <t>&lt;$1,500</t>
  </si>
  <si>
    <t>"The Arch and Bruce Brown Foundation offers grants to production companies to offset expenses in producing theatrical works (plays, musicals, performance art, operas, choral works, orchestral works with text) and film or video. All works must be LGBTQ-themed and must be based on, or inspired by, history."</t>
  </si>
  <si>
    <t>Foundation for Contemporary Arts</t>
  </si>
  <si>
    <t>Emergency Grants</t>
  </si>
  <si>
    <t>emergency grant</t>
  </si>
  <si>
    <t>Pollock-Krasner Foundation</t>
  </si>
  <si>
    <t>Creative Arts
Visual Art</t>
  </si>
  <si>
    <t>"The Pollock-Krasner Foundation's mission is to aid, incternationlly, those individuals who have worked as artists over a significant period of time.  The Foundation's dual criteria for grants are recngozable srtistic merit and financial need, whether professional, personal, or both.... 
The Foundation welcomes, throughout the year, applications from visual artists who are painters, sculptors and artists who work on paper, including printmakers. There are no deadlines. The Foundation encourages applications from artists who have genuine financial needs that are not necessarily catastrophic. Grants are intended for a one-year period of time."</t>
  </si>
  <si>
    <t>$10,000 average</t>
  </si>
  <si>
    <t>“Areas of Interest
•	Environmental Health &amp; Justice
•	Land Conservation
•	Sustainability of Resources 
•	Mountaintop Removal Mining
•	Watershed Protection
•	Financial Literacy for elementary and high school students”</t>
  </si>
  <si>
    <t>project
research</t>
  </si>
  <si>
    <t xml:space="preserve">“Our aim is to invest in innovative projects that can have measurable impact and can create meaningful, transformative change.” Program areas include education, democracy, higher education and research in Africa, and international peace and security.  </t>
  </si>
  <si>
    <t>2.23.18</t>
  </si>
  <si>
    <t>program</t>
  </si>
  <si>
    <t>postdoc</t>
  </si>
  <si>
    <t>$47,446/year for two years</t>
  </si>
  <si>
    <t>As part of a continuing commitment to building a culturally diverse intellectual community and advancing scholars from underrepresented groups in higher education, The University of North Carolina at Chapel Hill Carolina Postdoctoral Program for Faculty Diversity is pleased to announce the availability of postdoctoral research appointments for a period of two years. The purpose of the Program is to develop scholars from underrepresented groups for possible tenure track appointments at the University of North Carolina and other research universities. Postdoctoral scholars will be engaged full-time in research and may teach only one course per fiscal year.</t>
  </si>
  <si>
    <t>Earhart Foundation</t>
  </si>
  <si>
    <t>$500-20,000
Average $8,000</t>
  </si>
  <si>
    <t>"To support professionals in the social sciences and humanities, including economics, international affairs, government/politics, and philosophy"</t>
  </si>
  <si>
    <t>&lt;4 years postdoc
early career</t>
  </si>
  <si>
    <t>"Submit an application if you are a researcher from abroad with above average qualifications, at the beginning of your academic career and only completed your doctorate in the last four years. A Humboldt Research Fellowship for postdoctoral researchers allows you to carry out long-term research (6-24 months) in Germany. Applicants choose their own topic of research and their academic host.
Scientists and scholars of all nationalities and disciplines may apply to the Alexander von Humboldt Foundation online at any time."</t>
  </si>
  <si>
    <t>Mentioned 2.23.18</t>
  </si>
  <si>
    <t>&lt;12 years postdoc</t>
  </si>
  <si>
    <t>"Submit an application if you are a researcher from abroad with above average qualifications, completed your doctorate less than twelve years ago, already have your own research profile and are working at least at the level of Assistant Professor or Junior Research Group Leader or have a record of several years of independent academic work. A Humboldt Research Fellowship for experienced researchers allows you to carry out long-term research (6-18 months) in Germany. Applicants choose their own topic of research and their academic host. The fellowship is flexible and can be divided up into as many as three stays within three years.
Scientists and scholars of all nationalities and disciplines may apply to the Alexander von Humboldt Foundation online at any time."</t>
  </si>
  <si>
    <t>Institute for Humane Studies</t>
  </si>
  <si>
    <t>Hayek Fund for Scholars</t>
  </si>
  <si>
    <t>travel
professional development</t>
  </si>
  <si>
    <t>"IHS’s Hayek Fund can offset or cover the cost of travel and conference fees for PhD students and non-tenured faculty including post-docs, visiting assistant professors, adjuncts, and tenure-track professors.
The Hayek Fund can help pay for activities including:
Presentations at academic or professional conferences
Travel to academic job interviews on a campus or at professional/academic conferences
Travel to archives or libraries for research
Participation in career-development or enhancing seminars
Submission of unpublished manuscripts to journals or book publishers"</t>
  </si>
  <si>
    <t>National Geographic Society</t>
  </si>
  <si>
    <t>Waitt Grants Program</t>
  </si>
  <si>
    <t>"We invest in bold people and transformative ideas in the fields of conservation, education, research, storytelling, and technology. Our goal is to identify, cultivate, and develop the world-changers of today and tomorrow. Our grant recipients are—and have always been—the heart and soul of what we do.
When we award a grant, we're not just funding a project. We are also inviting a scientist, conservationist, educator, or storyteller to join a passionate community of like-minded, global leaders."</t>
  </si>
  <si>
    <t>Puffin Foundation</t>
  </si>
  <si>
    <t>Investigative Fund</t>
  </si>
  <si>
    <t>Pulitzer Center</t>
  </si>
  <si>
    <t>Travel Grants</t>
  </si>
  <si>
    <t>$5,000-15,000</t>
  </si>
  <si>
    <t>"The Pulitzer Center on Crisis Reporting funds international travel costs associated with reporting projects on topics and regions of global importance, with an emphasis on issues that have gone unreported or under-reported in the mainstream American media. The amount of individual travel grants will depend on the specific project and detailed budget planning."</t>
  </si>
  <si>
    <t>Tools and Trades History Society</t>
  </si>
  <si>
    <t xml:space="preserve">"Funds are available to a limit, in any one calendar year, of £2000 in the form of Grants towards the cost of research projects proposed to be undertaken. However, it would be very exceptional for the entire sum to be granted/awarded to a single project or piece of research.
Applications will be considered from any person or group, whether members of the Tools and Trades History Society or not.
Proposed projects and completed work submitted for consideration will be assessed by the Executive Trustees regarding:
Originality of the work and the extent to which it advances the Society's objective.Suitability for publication, either as written material or as a visual/aural record, under the auspices of the Society, or elsewhere with the acknowledgement of the Society's assistance….
Potential Applicants should be aware that submissions received in the early part of the year will be more likely of success in getting a Grant/Award that year, than those which arrive later, when other budgetary processes may have imposed funding constraints.” </t>
  </si>
  <si>
    <t>research, travel</t>
  </si>
  <si>
    <t>up to $75,000</t>
  </si>
  <si>
    <t>This fund is designed to provide support for faculty who would like to use the resources or facilities of one or more of the University’s eight Global Centers for teaching or research activities. The Columbia Global Centers are a global network of regional hubs intended to enhance the quality of research and learning at the University.  The program serves as a venture fund to enable the development of projects and research collaborations within and across these sites, in order to increase global opportunities for research, teaching and service.  Proposals are invited for planning grants (up to $25,000), for a period of no longer than one year; and project grants (up to $75,000/year), for a period of up to three years.</t>
  </si>
  <si>
    <t>$10,000-$60,000</t>
  </si>
  <si>
    <t>"Awards...may be used for research, including field studies, and related expenses, including travel (where appropriate) and living costs over the period covered by the Landes Grant. Senior scholars may request stipends based on their previous year’s salary and professional standing. Applications for multiyear grants will be considered."
"Funding preference will be given to research proposals on the specific subjects reflected in the Ruth Landes Bibliography....Dr. Landes conducted fieldwork among Afro-Brazilians, African-Americans in the United States of America, and American Indians, including the Ojibwa, Potawatomi, and Sioux. She worked in Canada, Brazil, England, Scotland, South Africa, Spain, Switzerland and in the U.S.A. Her research topics included, but were not limited to, aging, gender and sexuality, race and ethnicity, immigrant and minority populations, culture and education, language and identity, and religion."</t>
  </si>
  <si>
    <t>Awards for Study in Scandinavia</t>
  </si>
  <si>
    <t>Language and Area Studies
Arts</t>
  </si>
  <si>
    <t>fellowship, grant</t>
  </si>
  <si>
    <t>up to $23,000 for a year-long fellowship, up to $5,00 for a project grant</t>
  </si>
  <si>
    <t>For individuals to pursue research, study or creative arts projects in one or more Scandinavian country for up to one year. Grants are considered suitable for post-graduate scholars, professionals, and candidates in the arts to carry out research or study visits of one to three months duration.</t>
  </si>
  <si>
    <t>Visiting scholars and PhD students from other Israeli or foreign academic institutions have the opportunity to work one-on-one with researchers at the center and utilize its resources to anthropology, sociology, and religion. Applicants must be doctoral candidates or have received a PhD degree. Applicants are responsible for their own funding and housing arrangements. The minimum duration of the affiliation is three months, which can be extended up to one year.</t>
  </si>
  <si>
    <t>Austin Riggs Center</t>
  </si>
  <si>
    <t>Sci
Psychology &amp; Neuroscience</t>
  </si>
  <si>
    <t>"True to the core of Erikson’s work, the Erikson Scholar Program aims to create and maintain a steady flow of ideas between scholars and clinicians on topics that take up the interaction between the internal and external worlds, that have the potential to enrich our understanding of each, and that might have application to larger societal problems.  Inquiry into the nature of psychosocial experience, the relationship of the individual to culture and history, the role of trauma, the dynamics of identity and the place of community are broad examples of the areas in which the Erikson Scholar Program honors and extends the legacy of Erikson’s important contribution to the field of psychoanalysis and to the Center during his ten years on the staff."</t>
  </si>
  <si>
    <t>"The mission of the AXA Research Fund is to support academic institutions hosting outstanding researchers committed to improving people’s life by carrying out cutting-edge and innovative research dealing with global societal challenges related to Life &amp; Health, Data &amp; Technology, Climate &amp; Environment and Economics &amp; Insurance."</t>
  </si>
  <si>
    <t>"Travel grant applicants must reside more than 75 miles from Philadelphia to be eligible. No more than one travel grant per person per fiscal year (July 1 to June 30) can be awarded. Grants must be taken within one year of the award or the grantee must request an extension or reapply.
A travel grant application must contain a research proposal that also details how the applicant will make use of CHF’s collections (one page)."</t>
  </si>
  <si>
    <t>"Application type for proposals requesting support of exploratory experiments that will strengthen hypotheses and lead to the formulation of competitive applications for subsequent larger-scale funding by SFARI or other organizations. Innovative, high-risk/high-impact proposals are encouraged. We especially encourage applications from investigators who are new to the field of autism, but who have expertise that could be brought to bear on this complex disorder."</t>
  </si>
  <si>
    <t>&lt;$330,000/2 years
&lt;$975,000/3 years</t>
  </si>
  <si>
    <t>"Grants awarded through this RFA are intended to provide funding for investigators conducting bold, creative and rigorous research into the underlying biology, causes and treatment of autism spectrum disorders.
Pilot Awards are intended for investigators who are requesting support for small-scale projects or early-stage experiments that will build on preliminary data or a prior track record and lead to competitive applications for funding by SFARI or other organizations....
Research Awards are intended for investigators with demonstrated experience who are requesting support for compelling, high-impact research on an experimental hypothesis for which preliminary data have already been gathered."</t>
  </si>
  <si>
    <t>National Speleological Society</t>
  </si>
  <si>
    <t>Community Recognition Grants</t>
  </si>
  <si>
    <t>New York Stem Cell Foundation</t>
  </si>
  <si>
    <t>Investigator Awards</t>
  </si>
  <si>
    <t>Targeted Grants in Mathematics and Physical Sciences</t>
  </si>
  <si>
    <t>research
project</t>
  </si>
  <si>
    <t>one month of summer salary and related benefits</t>
  </si>
  <si>
    <t>"The Simons Foundation’s Mathematics and Physical Sciences (MPS) division invites applications for its Targeted Grants in MPS program.... The program is intended to support high-risk theoretical mathematics, physics and computer science projects of exceptional promise and scientific importance on a case-by-case basis."</t>
  </si>
  <si>
    <t xml:space="preserve">Russell Sage Foundation </t>
  </si>
  <si>
    <t>Small Grants Program</t>
  </si>
  <si>
    <t>"The Russell Sage Behavioral Economics Roundtable offers small grants to support high quality research in behavioral economics and to encourage young investigators to enter this developing field. There are no limitations on the disciplinary background of the principal investigator, and the proposed research may address any economic topic. However, projects must contribute to the Foundation's mission to improve the social and living conditions in the U.S. Interdisciplinary efforts are welcome. Appropriate projects will demonstrate explicit use of psychological concepts in the motivation of the design and the preparation of the results. Experimental projects which do not have substantial behavioral content (such as market experiments testing neoclassical ideas) or substantial economic content (such as psychology experiments with no economic choices or strategic or market implications) will not be funded."</t>
  </si>
  <si>
    <t>Searle Freedom Trust</t>
  </si>
  <si>
    <t>"Recognizing that good policymaking relies on the availability of high-quality research, the foundation invests primarily in scholarship that results in the publication of books, journal articles, and policy papers. Funding is typically provided in the form of research grants, fellowships, and other types of targeted project support.
The Searle Freedom Trust also provides funding for public interest litigation and supports outreach to the public through a variety of forums, including sponsorship of research conferences and seminars, film and journalism projects, and new media initiatives.
With the foundation’s assistance, university and think tank scholars investigate a wide range of issues, including:
· Tax and budget policy
· Cost-benefit analysis of regulatory practices and proposals
· The workings of the legal system
· Environmental policy
· Social welfare reform
· K-12 and higher education policy"</t>
  </si>
  <si>
    <t>Baylor Collections of Political Materials</t>
  </si>
  <si>
    <t>Dowdy Research Grant</t>
  </si>
  <si>
    <t>"BCPM seeks to assist researchers through the John and JD Dowdy Memorial Congressional Research Endowed Fund which provides financial support for on-campus work in the library's congressional collections."</t>
  </si>
  <si>
    <t xml:space="preserve">Rolling </t>
  </si>
  <si>
    <t>Japan Foundation</t>
  </si>
  <si>
    <t>Grant for Japanese Studies</t>
  </si>
  <si>
    <t>Grant for Art and Culture</t>
  </si>
  <si>
    <t>rolling?</t>
  </si>
  <si>
    <t>Division of Environmental Biology (DEB)</t>
  </si>
  <si>
    <t xml:space="preserve">Website says deadline "Waiting for publication."
"The Division of Environmental Biology (DEB) supports fundamental research on populations, species, communities, and ecosystems. Scientific emphases range across many evolutionary and ecological patterns and processes at all spatial and temporal scales. Areas of research include biodiversity, phylogenetic systematics, molecular evolution, life history evolution, natural selection, ecology, biogeography, ecosystem structure, function and services, conservation biology, global change, and biogeochemical cycles. Research on organismal origins, functions, relationships, interactions, and evolutionary history may incorporate field, laboratory, or collection-based approaches; observational or manipulative experiments; synthesis activities; as well as theoretical approaches involving analytical, statistical, or computational modeling.” </t>
  </si>
  <si>
    <t>Long Term Research in Environmental Biology</t>
  </si>
  <si>
    <t xml:space="preserve">Website says deadline "Waiting for publication."
“The Long Term Research in Environmental Biology (LTREB) Program supports the generation of extended time series of data to address important questions in evolutionary biology, ecology, and ecosystem science. Research areas include, but are not limited to, the effects of natural selection or other evolutionary processes on populations, communities, or ecosystems; the effects of interspecific interactions that vary over time and space; population or community dynamics for organisms that have extended life spans and long turnover times; feedbacks between ecological and evolutionary processes; pools of materials such as nutrients in soils that turn over at intermediate to longer time scales; and external forcing functions such as climatic cycles that operate over long return intervals.
The Program intends to support decadal projects. Funding for an initial, 5-year period requires submission of a preliminary proposal and, if invited, submission of a full proposal that includes a 15-page project description. Proposals for the second five years of support (renewal proposals) are limited to a ten-page project description and do not require a preliminary proposal.” </t>
  </si>
  <si>
    <t>TBA</t>
  </si>
  <si>
    <t>$16,800-$37,800</t>
  </si>
  <si>
    <t>National Endowment for the Humanities Post-Doctoral Fellowships support research in residence at the Library Company on any subject relevant to its collections, which are capable of supporting research in a variety of fields and disciplines relating to the history of America and the Atlantic world form the 17th through the 19th centuries.  NEH fellowships are tenable for four to nine months.  The stipend is $4,200 per month.</t>
  </si>
  <si>
    <t>Shelby Cullom Davis Center for Historical Studies</t>
  </si>
  <si>
    <t>Salary replacement plus travel</t>
  </si>
  <si>
    <t>"As part of our mission to support innovation in historical research, The Davis Center welcomes applications for Fellowships from scholars whose research engages broadly and imaginatively with the theme that the Center sets each year. Our aim is to bring to five to six Fellows per semester to the Center where they pursue their own scholarly projects and contribute to the intellectual community of the Center and the university. We are also pleased to announce one residential Postdoctoral Research Associate or more senior position, focused on the more specific topic of “Law &amp; Difference.”"</t>
  </si>
  <si>
    <t>"The Mary Baker Eddy Library awards fellowships annually. These are designed to support original contributions to scholarship. They help further the research of established scholars, graduate students, and recent graduates just beginning their academic careers.
Fellowships are for research work in our collections, centering on the papers of Mary Baker Eddy and records documenting the history of the Christian Science movement. Relevant areas of research include the fields of women’s history; spirituality and health; religious studies; nineteenth-century history; cultural and social history; architecture; and journalism."</t>
  </si>
  <si>
    <t>re:work</t>
  </si>
  <si>
    <t>"Every year the International Research Centre ‘Work and Human Lifecycle in Global History’ at Humboldt University in Berlin (re:work) invites senior scholars and postdoctoral candidates to apply for 10 to 15 international research fellowships for the duration of the following academic year. The fellowships begin on 1 October and end on 31 July (shorter fellowship terms are negotiable). The fellowships require the researchers’ presence at the centre."</t>
  </si>
  <si>
    <t>Stanford Humanities Center</t>
  </si>
  <si>
    <t>External Faculty Fellowships</t>
  </si>
  <si>
    <t>&lt;$70,000
housing and moving allowance of &lt;$30,000</t>
  </si>
  <si>
    <t>"The Humanities Center offers approximately twenty-five residential fellowships for the academic year to Stanford and non-Stanford scholars at different career stages, giving them the opportunity to pursue their work in a supportive intellectual community.... External fellowships are intended primarily for individuals currently teaching in or affiliated with an academic institution, but independent scholars may apply. Faculty fellowships are awarded across the spectrum of academic ranks (assistant, associate, and full professor) and a goal of the selection process is to create a diverse community of scholars."</t>
  </si>
  <si>
    <t>tba</t>
  </si>
  <si>
    <t xml:space="preserve">Duke University </t>
  </si>
  <si>
    <t>Humanities Writ Large Visiting Faculty Fellows</t>
  </si>
  <si>
    <t>Program on hold
"The Visiting Faculty Fellows program is intended to extend the practice of humanities research and education philosophically grounded at the undergraduate level into liberal arts colleges and Historically Black Colleges and Universities. Duke, as a research hub, can offer its research opportunities to faculty from these institutions and by extension have its impact on their undergraduates even as we can learn from the knowledge and world-views generated at these other institutions. This element of the HWL grant realizes the Mellon Foundation’s desire to reframe humanities as an engine for new knowledge production and to multiply the benefits of the Humanities Writ Large initiative at Duke."</t>
  </si>
  <si>
    <t>Summer Programs in the Humanities for College Educators</t>
  </si>
  <si>
    <t>$1,200-3,300</t>
  </si>
  <si>
    <t>"Each year, NEH offers tuition-free opportunities for school, college, and university educators to study a variety of humanities topics."</t>
  </si>
  <si>
    <t>$5,555.55/month for 6-9 months up to $50,000</t>
  </si>
  <si>
    <t>Society for American Music</t>
  </si>
  <si>
    <t>Adrienne Fried Block Fellowship</t>
  </si>
  <si>
    <t>Arts &amp; Humanities
Music</t>
  </si>
  <si>
    <t>&lt;$3,000</t>
  </si>
  <si>
    <t>"This fellowship, endowed in honor of Adrienne Fried Block, shall be given to support scholarly research leading to publication on topics that illuminate musical life in large urban communities. Preference shall be given to projects that focus on the interconnections among the groups and organizations present in these metropolitan settings and their participation in the wide range of genres that inform the musical life and culture of their cities."</t>
  </si>
  <si>
    <t>Arts &amp; Humanities
Religion</t>
  </si>
  <si>
    <t>"Through a generous bequest of Robert M. Kingdon, the Institute for Research in the Humanities at the University of Wisconsin-Madison offers two Robert M. Kingdon Fellowships to be awarded to scholars from outside the UW-Madison working on the historical, literary, artistic, and/or philosophical studies of Christian and/or Jewish religious traditions. Projects may focus on any period from antiquity to the present, on any part of the world, and in any field(s) in the humanities; they can range widely or focus on a particular issue; and can explore various forms of the Jewish and/or Christian traditions; the interaction of one or both of these religious traditions with other religious traditions; and/or the relationship of one or both of these religious traditions to other aspects of society within or outside of Europe.
Fellows must be in residence throughout the academic year (except for short research trips, lectures, conferences, etc.) and may extend their residency through the following summer on a non-stipendary basis."</t>
  </si>
  <si>
    <t>project funding</t>
  </si>
  <si>
    <t>The Institute for Religion, Culture, and Public Life supports academic research, teaching, and scholarship. The Institute seeks proposals from Columbia University faculty for programs that aim to understand the role of religion in the contemporary world and its historical roots. Joint Project funding may be applied to seminars, conferences, events, research, teaching, and other joint projects that bring together an interdisciplinary group of scholars.</t>
  </si>
  <si>
    <t xml:space="preserve">National Endowment for the Arts </t>
  </si>
  <si>
    <t>Research: Art Works</t>
  </si>
  <si>
    <t>Harvard University</t>
  </si>
  <si>
    <t>WPR Creative Fellowship</t>
  </si>
  <si>
    <t>"overseen by Houghton Library, the Poetry Room features a circulating collection of 20th and 21st century English-language poetry, an encyclopedic array of poetry serials, the Blue Star collection of rare books, broadsides, chapbooks, and typescripts, and a landmark collection of audio recordings (1933 to the present)....
The WPR Creative Fellowship invites poets, writers, multimedia artists, and scholars of contemporary poetry to propose creative projects that would benefit from the resources available in the room and to generate new work that further actualizes the Poetry Room's collectionsâ€”particularly the audio-video archive.  In addition to conducting research and pursuing projects, the WPR fellow will be asked to present a works-in-progress event in conjunction with the Poetry Room’s public programming season and/or to contribute a work or drafts (produced during the fellowship) to the WPR archive. The recipient is expected to work on-site at the Woodberry Poetry Room for at least 10 days during the Harvard academic year."</t>
  </si>
  <si>
    <t>New York State Council on the Arts/New York Foundation for the Arts</t>
  </si>
  <si>
    <t>NYSCA/NYFA Artists’ Fellowships</t>
  </si>
  <si>
    <t>"NYSCA/NYFA Artist Fellowships, awarded in fifteen different disciplines over a three-year period, are $7,000 cash awards made to individual originating artists living and working in the state of New York for unrestricted use. These fellowships are not project grants but are intended to fund an artist’s vision or voice, regardless of the level of his or her artistic development." 2018 disciplines are Fiction, Folk/Traditional Arts, Interdisciplinary Work, Painting, Video/Film</t>
  </si>
  <si>
    <t>7/12/18 OTHER DEADLINE
"We fund projects only. Projects may consist of one or more specific events or activities. Projects do not have to be new. Excellent existing projects can be just as competitive as new activities. Projects do not need to be big either; we welcome small projects that can make a difference in their community or field....
These grants support artistically excellent projects that celebrate our creativity and cultural heritage, invite mutual respect for differing beliefs and values, and enrich humanity. Matching grants generally range from $10,000 to $100,000. A minimum cost share/match equal to the grant amount is required."</t>
  </si>
  <si>
    <t>up to $35,000</t>
  </si>
  <si>
    <t>AERA invites education­-related research proposals using NCES, NSF, and other federal databases. Research Grants are available for faculty at institutions of higher education, postdoctoral researchers, and other doctoral-level scholars. Applications are encouraged from a variety of disciplines, such as but not limited to, education, sociology, economics, psychology, demography, statistics, and psychometrics.</t>
  </si>
  <si>
    <t>Education
Cognitive Science</t>
  </si>
  <si>
    <t>&lt;$2,500,000/5 years</t>
  </si>
  <si>
    <t>NEXT GRANT CYCLE IS 2019
"The Teachers as Learners (TAL) program will emphasize a cognitive science perspective on teachers as learners – including a focus on the cognitive constraints that guide teacher thinking and change in attitudes, knowledge, skills and behaviors. We need to know what aspects of cognition (e.g., memory, knowledge, goals, expertise, collaboration) help explain teachers’ learning and change, particularly as it relates to adopting evidence-based practices in classroom contexts.
Understanding teachers as learners in the context of the many influences on teacher change across career trajectories is an important but understudied area of translational research with the opportunity for impact on both research and educational practice.  Understanding teachers as learners from a cognitive science perspective would advance the implementation of policies aimed at evidence-based reforms. We acknowledge that teaching occurs in a complex context and we want to situate the work in that context, but the focus of this program is on studying the cognitive dimensions of teacher learning as it takes place within these rich socio-cultural and institutional contexts, rather than the contexts themselves. A survey of the current landscape reveals that there is significant focus on small­scale experimental work on student cognition and on descriptive work on teaching – but the lack of a cognitive science framework for how teachers learn to process, evaluate, and improve their use of evidence­based practices within a complex, dynamic system."</t>
  </si>
  <si>
    <t xml:space="preserve">Ruth K. Broad Foundation Extramural Award </t>
  </si>
  <si>
    <t>"The Martin Duberman Visiting Scholar program at The New York Public Library fosters excellence in LGBT studies by providing funds for scholars to do research in the Library’s preeminent LGBT historical collections. The fellowship is open to both academic faculty and independent scholars who have made a significant contribution to the field.... The awardee will be expected to spend a minimum of three months researching at the Library and at other archives relevant to their topic in the New York City area, to give a public talk on their work, and to write a short piece about their project for the Library’s website."</t>
  </si>
  <si>
    <t xml:space="preserve">Fellowship </t>
  </si>
  <si>
    <t>early mid-career</t>
  </si>
  <si>
    <t>Fellowships will be awarded for 2018-2019 in Sculpture and the History of Art and Architecture
"The Howard Foundation awards a limited number of fellowships each year for independent projects in selected fields, targeting its support specifically to early mid-career individuals, those who have achieved recognition for at least one major project....
Fellowships are offered in a five-year sequence of fields. Successful candidates are given the option of postponing receipt of their fellowship, so as to make the Howard competition accessible to those whose personal plans do not line up exactly with the year in which awards are offered in their fields."</t>
  </si>
  <si>
    <t>Institute for Research and Innovation &amp; Science (IRIS)</t>
  </si>
  <si>
    <t>IRIS Research Awards</t>
  </si>
  <si>
    <t>James Marston Fitch Mid-Career Fellowship</t>
  </si>
  <si>
    <t>"Research grants of up to $15,000 will be awarded to one or two mid-career professionals who have an academic background, professional experience and an established identity in one or more of the following fields: historic preservation, architecture, landscape architecture, urban design, environmental planning, architectural history and the decorative arts. The James Marston Fitch Charitable Foundation will consider proposals for the research and/or the execution of the preservation-related projects in any of these fields."</t>
  </si>
  <si>
    <t>"The institution awards approximately 200 fellowships to scholars in the fields of history, literature, art, and the history of science. These scholarly pursuits lead to best-selling books, Pulitzer Prizes, acclaimed documentary films, and many of the history and social studies textbooks that educate the nation’s school children. The Huntington's independent research library has significant holdings in British and American history; British and American literature; art history, the history of science and medicine; and the history of the book.... The Art Collections contain several notable British and American paintings; innumerable fine prints and photographs; and an art reference library. In the library of the Botanical Gardens is a broad collection of reference works in botany, horticulture, and gardening."</t>
  </si>
  <si>
    <t>United States Institute for Peace</t>
  </si>
  <si>
    <t>Jennings Randolph Senior Fellowship</t>
  </si>
  <si>
    <t>&lt;$10,000/month for 6 months minumum</t>
  </si>
  <si>
    <t>"From 1986 through 2015, USIP’s Jennings Randolph Senior Fellowship program supported research, writing and in-house advising on a wide variety of topics related to peace and conflict, from Track Two Diplomacy and its influence on US-Russia relations to oil and conflict, through over 315 ten-month, residential fellowships. In response to the maturing field of peacebuilding and in order to make efficient use of Institute, the Jennings Randolph Senior Fellowship program has been restructured. 
The Senior Fellowship program supports targeted research, analysis and writing that is more closely integrated with the work of the Institute, with greater flexibility in terms of application opportunities, than previously."</t>
  </si>
  <si>
    <t>Columbia University School of Journalism</t>
  </si>
  <si>
    <t>The Anthony Lukas Prize Project Awards</t>
  </si>
  <si>
    <t>US-Japan Foundation</t>
  </si>
  <si>
    <t>Leadership Program</t>
  </si>
  <si>
    <t>"Over the course of two summers, some 40 young leaders are brought together to explore and discuss important topics of mutual interest. Once selected for the Program, participants gain lifelong access to the unique pool of USJLP talent, connections and opportunities.
To qualify for the 2015-2016 USJLP conferences, candidates must hold U.S. or Japan citizenship, be between the ages of 28 and 42 as of the first day of the 2016 conference (July 16, 2016), and have demonstrated leadership, achievement, or the potential for leadership in their respective fields. USJLP strives to achieve a diverse and balanced class each year, and consideration will be given to proven leaders from a broad spectrum of careers and backgrounds."</t>
  </si>
  <si>
    <t>Houghton Library is the principal rare book and manuscript library of Harvard College, which documents the history of Western civilization.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 ... (these do not have to be consecutive weeks), and each fellow will be expected to produce a written summary of his/her experience working with the collections."</t>
  </si>
  <si>
    <t>New York State Archives</t>
  </si>
  <si>
    <t>New York State Archives Larry J. Hackman Research Residency Program</t>
  </si>
  <si>
    <t>"The New York State Archives announces the availability of awards for qualified applicants to conduct research using historical records in the Archives. The Larry J. Hackman Research Residency Program is intended to support advanced work on New York State history, government, or public policy by defraying travel-related research expenses. It encourages public dissemination of research products."</t>
  </si>
  <si>
    <t xml:space="preserve">Burroughs Welcome Fund </t>
  </si>
  <si>
    <t xml:space="preserve">Innovation in Regulatory Science </t>
  </si>
  <si>
    <t>&lt;$500,000</t>
  </si>
  <si>
    <t>"BWF’s Innovation in Regulatory Science Awards provide up to $500,000 over five years to academic investigators developing new methodologies or innovative approaches in regulatory science that will ultimately inform the regulatory decisions the Food and Drug Administration (FDA) and others make."</t>
  </si>
  <si>
    <t>6 months of support</t>
  </si>
  <si>
    <t>The aim of the fellowships is to enable visiting academics to spend six months calendar months between October and March focusing on their research and writing, whilst based at the Centre of African Studies in Cambridge.</t>
  </si>
  <si>
    <t>up to $51,000</t>
  </si>
  <si>
    <t>"The Research Fellowship Program aims to promote and cultivate scholarly research about Oman across several academic disciplines. The fellowship is open to PhD candidates and university academics who are US citizens or affiliated with an American university, and funds one scholar or team of scholars to carry out research in Oman each year."</t>
  </si>
  <si>
    <t>Human Frontier Science Program</t>
  </si>
  <si>
    <t xml:space="preserve">Young Investigators’ Research Grants, Human Frontier Science Program </t>
  </si>
  <si>
    <t>American Speech Language Hearing Foundation</t>
  </si>
  <si>
    <t>New Investigators Research Grant, American Speech-Language-Hearing Foundation</t>
  </si>
  <si>
    <t>3-6 months</t>
  </si>
  <si>
    <t>Not surrently accepting applications.
"DSD-funded research must address the primary theme of drugs in Latin America or the Caribbean. Proposals must demonstrate the potential for the research to contribute to a sound and credible knowledge base for informed advocacy and decision-making for drug policy. For the current fellowship competition, applications must address one of the following topics:
Drug policy / legal reform, including different depenalization, decriminalization, legalization, and regulation approaches as well as country-specific obstacles to reform
Marijuana, including legalization for medical use
Impact of drug laws on prison systems, including costs associated with pretrial detention for drugs
The dynamics and relationships between legal pharmaceutical drug markets and illicit drug production, including barriers to access and incentives/disincentives for producers
Drug policy and the peace process in Colombia
Analysis of institutional resource distribution between criminal and public health approaches to drug use
Drug economy and its dynamics
Preference will be given to candidates researching the aforementioned topics in Brazil, Caribbean countries, Central American countries, Colombia, Ecuador, Mexico, Peru, and Uruguay."</t>
  </si>
  <si>
    <t xml:space="preserve">TBA </t>
  </si>
  <si>
    <t>Robert Giard Fellowship</t>
  </si>
  <si>
    <t>Creative Arts
Visual Art
Gender studies</t>
  </si>
  <si>
    <t>"An annual award named for Robert Giard, a portrait, landscape, and figure photographer whose work often focused on LGBTQ lives and issues, this award is presented to an emerging or mid-career artist, from any country, working in photography, photo-based media, or moving image, including experimental, narrative, or documentary forms of these media. The award now alternates annually between artists working with still image (photography) and those working with moving image (video or film). This year’s award is for still images. This award will support the development or completion of a project, one that is new or continuing, that addresses issues of sexuality, gender, or LGBTQ identity. The Foundation is receptive to a variety of projects and approaches to these topics."</t>
  </si>
  <si>
    <t>tba 8/18</t>
  </si>
  <si>
    <t>professionally active at least 3 years</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</si>
  <si>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Artists invites 30 artists from around the world, representing a wide diversity of artistic styles and practices, to gather in rural New York for four weeks each summer to experiment, collaborate and share ideas. Concentrated time for creative work is balanced with the stimulation of cultural exchange and critical appraisal."</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</si>
  <si>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Writers, formerly known as Ledig House, hosts authors and translators from around the world for residencies throughout the spring and fall. The program’s strong international emphasis provides exposure for global literary voices and reflects the spirit of cultural exchange that is essential to Art Omi’s mission."</t>
  </si>
  <si>
    <t>tba Fall 2018</t>
  </si>
  <si>
    <t>Creative Arts
Architecture</t>
  </si>
  <si>
    <t>early career
mid career</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</si>
  <si>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The Art Omi:  Architecture "residency is first of its kind in the nation, inviting 10 early- to mid-career architects from around the world to develop their work during a full two-week residency on Omi's campus. Art Omi: Architecture aims to nurture experimentation at the intersection of architecture, art and landscape."</t>
  </si>
  <si>
    <t>TBA spring 2018</t>
  </si>
  <si>
    <t>&lt;$60,000 per collaborator to $180,000
&lt;$21,000 project costs</t>
  </si>
  <si>
    <t>"The goal of the project should be a tangible research product (such as joint print or web publications) for which at least two collaborators will take credit....
[T]he aim of the fellowship program is to support scholarship that highlights the intellectual significance and innovation of collaborative research."</t>
  </si>
  <si>
    <t>All</t>
  </si>
  <si>
    <t>&lt;$35,000 for Assistant Professor 
&lt;$45,000 for Associate Professor 
&lt;$70,000 for full Professor</t>
  </si>
  <si>
    <t>TBD</t>
  </si>
  <si>
    <t xml:space="preserve">Division of Integrative Organismal Systems </t>
  </si>
  <si>
    <t>"The Division of Integrative Organismal Systems (IOS) supports research aimed at understanding why organisms are structured the way they are and function as they do. Proposals should focus on organisms as a fundamental unit of biological organization. Principal Investigators (PIs) are encouraged to apply systems approaches that will lead to conceptual and theoretical insights and predictions about emergent organismal properties. Areas of inquiry include, but are not limited to, developmental biology and the evolution of developmental processes, nervous system development, structure, and function, physiological processes, functional morphology, symbioses, interactions of organisms with biotic and abiotic environments, and animal behavior."</t>
  </si>
  <si>
    <t>TDA August 2018</t>
  </si>
  <si>
    <t>Psychiatry</t>
  </si>
  <si>
    <t>"The training of a new generation of psychiatric academicians is a major objective of the Society of Biological Psychiatry (SOBP). Participation in professional meetings, where new information is exchanged and contacts are made, can have a critical impact on the career of a developing basic and clinician-scientist. In recognition of the importance of academic exchange, SOBP annually selects distinguished Early Career Investigators from North American institutions to be a part of our Travel Fellowship Award program. Travel Awards recognize excellence in scholarly activity by junior researchers by providing the opportunity to attend the annual meeting and participate in special programming for the awardees. These awards are supported by the Society of Biological Psychiatry and in part by Elsevier, publisher of the Society’s journals, Biological Psychiatry and Biological Psychiatry: Cognitive Neuroscience and Neuroimaging."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</si>
</sst>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quot;$&quot;#,##0"/>
    <numFmt numFmtId="166" formatCode="[$€]#,##0.00"/>
    <numFmt numFmtId="167" formatCode="&quot;$&quot;#,##0.00"/>
  </numFmts>
  <fonts count="16" x14ac:knownFonts="1">
    <font>
      <sz val="11"/>
      <color rgb="FF000000"/>
      <name val="Calibri"/>
    </font>
    <font>
      <sz val="10"/>
      <name val="Calibri"/>
    </font>
    <font>
      <sz val="10"/>
      <color rgb="FF000000"/>
      <name val="Calibri"/>
    </font>
    <font>
      <sz val="10"/>
      <name val="Calibri"/>
    </font>
    <font>
      <sz val="10"/>
      <color rgb="FF333333"/>
      <name val="Verdana"/>
    </font>
    <font>
      <i/>
      <sz val="10"/>
      <color rgb="FF000000"/>
      <name val="Calibri"/>
    </font>
    <font>
      <b/>
      <sz val="11"/>
      <name val="Calibri"/>
    </font>
    <font>
      <sz val="10"/>
      <name val="Calibri"/>
      <family val="2"/>
    </font>
    <font>
      <sz val="11"/>
      <name val="Calibri"/>
      <family val="2"/>
    </font>
    <font>
      <u/>
      <sz val="10"/>
      <color rgb="FF0070C0"/>
      <name val="Calibri"/>
      <family val="2"/>
    </font>
    <font>
      <sz val="10"/>
      <color rgb="FF0070C0"/>
      <name val="Calibri"/>
      <family val="2"/>
    </font>
    <font>
      <u/>
      <sz val="10"/>
      <color rgb="FF0070C0"/>
      <name val="Arial"/>
      <family val="2"/>
    </font>
    <font>
      <b/>
      <u/>
      <sz val="10"/>
      <color rgb="FF0070C0"/>
      <name val="Calibri"/>
      <family val="2"/>
    </font>
    <font>
      <sz val="11"/>
      <color rgb="FF0070C0"/>
      <name val="Calibri"/>
      <family val="2"/>
    </font>
    <font>
      <b/>
      <sz val="10"/>
      <color theme="0"/>
      <name val="Calibri"/>
      <family val="2"/>
    </font>
    <font>
      <b/>
      <sz val="11"/>
      <color theme="0"/>
      <name val="Calibri"/>
      <family val="2"/>
    </font>
  </fonts>
  <fills count="5">
    <fill>
      <patternFill patternType="none"/>
    </fill>
    <fill>
      <patternFill patternType="gray125"/>
    </fill>
    <fill>
      <patternFill patternType="solid">
        <fgColor rgb="FFFFFFFF"/>
        <bgColor rgb="FFFFFFFF"/>
      </patternFill>
    </fill>
    <fill>
      <patternFill patternType="solid">
        <fgColor rgb="FFFCFCFC"/>
        <bgColor rgb="FFFCFCFC"/>
      </patternFill>
    </fill>
    <fill>
      <patternFill patternType="solid">
        <fgColor rgb="FFFFFF00"/>
        <bgColor rgb="FFFFFF00"/>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79">
    <xf numFmtId="0" fontId="0" fillId="0" borderId="0" xfId="0" applyFont="1" applyAlignment="1"/>
    <xf numFmtId="0" fontId="2" fillId="0" borderId="1" xfId="0" applyFont="1" applyBorder="1" applyAlignment="1">
      <alignment horizontal="left" vertical="center" wrapText="1"/>
    </xf>
    <xf numFmtId="0" fontId="2" fillId="0" borderId="0" xfId="0" applyFont="1" applyAlignment="1">
      <alignment wrapText="1"/>
    </xf>
    <xf numFmtId="0" fontId="2" fillId="0" borderId="1" xfId="0" applyFont="1" applyBorder="1" applyAlignment="1">
      <alignment horizontal="left" vertical="center" wrapText="1"/>
    </xf>
    <xf numFmtId="0" fontId="1" fillId="0" borderId="0" xfId="0" applyFont="1" applyAlignment="1">
      <alignment wrapText="1"/>
    </xf>
    <xf numFmtId="0" fontId="2" fillId="2" borderId="0" xfId="0" applyFont="1" applyFill="1" applyAlignment="1">
      <alignment wrapText="1"/>
    </xf>
    <xf numFmtId="0" fontId="3" fillId="0" borderId="1" xfId="0" applyFont="1" applyBorder="1" applyAlignment="1">
      <alignment wrapText="1"/>
    </xf>
    <xf numFmtId="0" fontId="1" fillId="0" borderId="1" xfId="0" applyFont="1" applyBorder="1" applyAlignment="1">
      <alignment horizontal="left" vertical="center" wrapText="1"/>
    </xf>
    <xf numFmtId="0" fontId="4" fillId="3" borderId="1" xfId="0" applyFont="1" applyFill="1" applyBorder="1" applyAlignment="1">
      <alignment wrapText="1"/>
    </xf>
    <xf numFmtId="0" fontId="2" fillId="4" borderId="0" xfId="0" applyFont="1" applyFill="1" applyAlignment="1">
      <alignment wrapText="1"/>
    </xf>
    <xf numFmtId="0" fontId="1" fillId="0" borderId="1" xfId="0" applyFont="1" applyBorder="1" applyAlignment="1">
      <alignment wrapText="1"/>
    </xf>
    <xf numFmtId="0" fontId="5" fillId="0" borderId="0" xfId="0" applyFont="1" applyAlignment="1">
      <alignment wrapText="1"/>
    </xf>
    <xf numFmtId="0" fontId="2" fillId="0" borderId="2" xfId="0" applyFont="1" applyBorder="1" applyAlignment="1">
      <alignment wrapText="1"/>
    </xf>
    <xf numFmtId="0" fontId="2" fillId="0" borderId="3" xfId="0" applyFont="1" applyBorder="1" applyAlignment="1">
      <alignment wrapText="1"/>
    </xf>
    <xf numFmtId="164" fontId="1" fillId="0" borderId="1" xfId="0" applyNumberFormat="1"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wrapText="1"/>
    </xf>
    <xf numFmtId="0" fontId="2" fillId="0" borderId="0" xfId="0" applyFont="1" applyAlignment="1">
      <alignment horizontal="left" vertical="center" wrapText="1"/>
    </xf>
    <xf numFmtId="0" fontId="2" fillId="4" borderId="1" xfId="0" applyFont="1" applyFill="1" applyBorder="1" applyAlignment="1">
      <alignment horizontal="left" vertical="center" wrapText="1"/>
    </xf>
    <xf numFmtId="164" fontId="1" fillId="0" borderId="4" xfId="0" applyNumberFormat="1" applyFont="1" applyBorder="1" applyAlignment="1">
      <alignment horizontal="center" vertical="center" wrapText="1"/>
    </xf>
    <xf numFmtId="164" fontId="1"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4"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left" vertical="center" wrapText="1"/>
    </xf>
    <xf numFmtId="0" fontId="0" fillId="0" borderId="0" xfId="0" applyFont="1" applyFill="1" applyAlignment="1"/>
    <xf numFmtId="164" fontId="1" fillId="0" borderId="4" xfId="0"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0" fontId="2" fillId="0" borderId="0" xfId="0" applyFont="1" applyFill="1" applyAlignment="1">
      <alignment wrapText="1"/>
    </xf>
    <xf numFmtId="0" fontId="2"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64" fontId="7" fillId="0" borderId="0" xfId="0" applyNumberFormat="1" applyFont="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xf numFmtId="0" fontId="7" fillId="4"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Alignment="1"/>
    <xf numFmtId="165" fontId="7" fillId="0" borderId="1" xfId="0" applyNumberFormat="1" applyFont="1" applyBorder="1" applyAlignment="1">
      <alignment horizontal="center" vertical="center" wrapText="1"/>
    </xf>
    <xf numFmtId="0" fontId="7" fillId="0" borderId="1" xfId="0" applyFont="1" applyBorder="1"/>
    <xf numFmtId="165" fontId="7" fillId="0" borderId="1"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165" fontId="7" fillId="4" borderId="1" xfId="0" applyNumberFormat="1" applyFont="1" applyFill="1" applyBorder="1" applyAlignment="1">
      <alignment horizontal="center" vertical="center" wrapText="1"/>
    </xf>
    <xf numFmtId="165" fontId="7" fillId="0" borderId="8"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9" fillId="0" borderId="8" xfId="0" applyFont="1" applyBorder="1" applyAlignment="1">
      <alignment horizontal="center" vertical="center" wrapText="1"/>
    </xf>
    <xf numFmtId="0" fontId="13" fillId="0" borderId="0" xfId="0" applyFont="1" applyAlignment="1"/>
    <xf numFmtId="0" fontId="14" fillId="0" borderId="5"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0" xfId="0" applyFont="1" applyFill="1" applyAlignment="1">
      <alignment wrapText="1"/>
    </xf>
    <xf numFmtId="0" fontId="15" fillId="0" borderId="0" xfId="0" applyFont="1" applyFill="1" applyAlignment="1"/>
  </cellXfs>
  <cellStyles count="1">
    <cellStyle name="Normal" xfId="0" builtinId="0"/>
  </cellStyles>
  <dxfs count="13">
    <dxf>
      <font>
        <b/>
        <i val="0"/>
        <strike val="0"/>
        <condense val="0"/>
        <extend val="0"/>
        <outline val="0"/>
        <shadow val="0"/>
        <u val="none"/>
        <vertAlign val="baseline"/>
        <sz val="10"/>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outline="0">
        <bottom style="thin">
          <color rgb="FF000000"/>
        </bottom>
      </border>
    </dxf>
    <dxf>
      <border outline="0">
        <left style="thin">
          <color rgb="FF000000"/>
        </left>
        <top style="thin">
          <color rgb="FF000000"/>
        </top>
        <bottom style="thin">
          <color rgb="FF000000"/>
        </bottom>
      </border>
    </dxf>
    <dxf>
      <font>
        <b val="0"/>
        <i val="0"/>
        <strike val="0"/>
        <condense val="0"/>
        <extend val="0"/>
        <outline val="0"/>
        <shadow val="0"/>
        <u val="none"/>
        <vertAlign val="baseline"/>
        <sz val="10"/>
        <color rgb="FF000000"/>
        <name val="Calibri"/>
        <scheme val="none"/>
      </font>
      <alignment horizontal="center" vertical="center" textRotation="0" wrapText="1" indent="0" justifyLastLine="0" shrinkToFit="0" readingOrder="0"/>
    </dxf>
    <dxf>
      <font>
        <b val="0"/>
        <i val="0"/>
        <strike val="0"/>
        <condense val="0"/>
        <extend val="0"/>
        <outline val="0"/>
        <shadow val="0"/>
        <u/>
        <vertAlign val="baseline"/>
        <sz val="10"/>
        <color rgb="FF0070C0"/>
        <name val="Calibri"/>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0"/>
        <color rgb="FF0070C0"/>
        <name val="Calibri"/>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none"/>
      </font>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Calibri"/>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I512" totalsRowShown="0" headerRowDxfId="0" dataDxfId="3" headerRowBorderDxfId="1" tableBorderDxfId="2">
  <autoFilter ref="A1:I512"/>
  <tableColumns count="9">
    <tableColumn id="1" name="Date" dataDxfId="12"/>
    <tableColumn id="2" name="Sponsor" dataDxfId="5"/>
    <tableColumn id="3" name="Program " dataDxfId="4"/>
    <tableColumn id="4" name="Category" dataDxfId="9"/>
    <tableColumn id="5" name="Type" dataDxfId="8"/>
    <tableColumn id="6" name="Stage of career_x000a_(if specified)" dataDxfId="7"/>
    <tableColumn id="7" name="Funding range _x000a_(if specified)" dataDxfId="6"/>
    <tableColumn id="8" name="Notes and description" dataDxfId="11"/>
    <tableColumn id="9" name="Profiled" dataDxfId="1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ps.org/policy/fellowships/congressional.cfm" TargetMode="External"/><Relationship Id="rId299" Type="http://schemas.openxmlformats.org/officeDocument/2006/relationships/hyperlink" Target="https://www.russellsage.org/how-to-apply/visiting-scholars-program" TargetMode="External"/><Relationship Id="rId21" Type="http://schemas.openxmlformats.org/officeDocument/2006/relationships/hyperlink" Target="https://www.nature.org/science-in-action/naturenet-science-fellowship.xml" TargetMode="External"/><Relationship Id="rId63" Type="http://schemas.openxmlformats.org/officeDocument/2006/relationships/hyperlink" Target="https://www.nsf.gov/funding/pgm_summ.jsp?pims_id=504727" TargetMode="External"/><Relationship Id="rId159" Type="http://schemas.openxmlformats.org/officeDocument/2006/relationships/hyperlink" Target="http://www.neh.gov/grants/education/summer-seminars-and-institutes" TargetMode="External"/><Relationship Id="rId324" Type="http://schemas.openxmlformats.org/officeDocument/2006/relationships/hyperlink" Target="https://awards.cies.org/content/fulbright-distinguished-chair-international-relations-university-sao-paulo-usp" TargetMode="External"/><Relationship Id="rId366" Type="http://schemas.openxmlformats.org/officeDocument/2006/relationships/hyperlink" Target="http://www.apa.org/apf/funding/walfish.aspx" TargetMode="External"/><Relationship Id="rId531" Type="http://schemas.openxmlformats.org/officeDocument/2006/relationships/hyperlink" Target="https://caves.org/grants/index.shtml" TargetMode="External"/><Relationship Id="rId573" Type="http://schemas.openxmlformats.org/officeDocument/2006/relationships/hyperlink" Target="http://us-jf.org/latest-news/2487/" TargetMode="External"/><Relationship Id="rId170" Type="http://schemas.openxmlformats.org/officeDocument/2006/relationships/hyperlink" Target="http://www.neh.gov/grants/education/landmarks-american-history-and-culture-workshops-school-teachers" TargetMode="External"/><Relationship Id="rId226" Type="http://schemas.openxmlformats.org/officeDocument/2006/relationships/hyperlink" Target="http://www.whitehall.org/" TargetMode="External"/><Relationship Id="rId433" Type="http://schemas.openxmlformats.org/officeDocument/2006/relationships/hyperlink" Target="https://www.nsf.gov/funding/pgm_summ.jsp?pims_id=504813" TargetMode="External"/><Relationship Id="rId268" Type="http://schemas.openxmlformats.org/officeDocument/2006/relationships/hyperlink" Target="http://libguides.niu.edu/rarebooks/fellowships" TargetMode="External"/><Relationship Id="rId475" Type="http://schemas.openxmlformats.org/officeDocument/2006/relationships/hyperlink" Target="https://www.aauw.org/what-we-do/educational-funding-and-awards/american-fellowships/af-research-publication-grants-application/" TargetMode="External"/><Relationship Id="rId32" Type="http://schemas.openxmlformats.org/officeDocument/2006/relationships/hyperlink" Target="http://www.hluce.org/" TargetMode="External"/><Relationship Id="rId74" Type="http://schemas.openxmlformats.org/officeDocument/2006/relationships/hyperlink" Target="http://www.asanet.org/news-events/footnotes/jul-aug-2016/whats-new/fund-advancement-discipline" TargetMode="External"/><Relationship Id="rId128" Type="http://schemas.openxmlformats.org/officeDocument/2006/relationships/hyperlink" Target="http://www.vahistorical.org/collections-and-resources/how-we-can-help-your-research/researcher-resources/research-fellowship-and?legacy=true" TargetMode="External"/><Relationship Id="rId335" Type="http://schemas.openxmlformats.org/officeDocument/2006/relationships/hyperlink" Target="http://www.sifoundation.org/" TargetMode="External"/><Relationship Id="rId377" Type="http://schemas.openxmlformats.org/officeDocument/2006/relationships/hyperlink" Target="https://www.nsf.gov/funding/pgm_summ.jsp?pims_id=503418" TargetMode="External"/><Relationship Id="rId500" Type="http://schemas.openxmlformats.org/officeDocument/2006/relationships/hyperlink" Target="https://oral.history.ufl.edu/" TargetMode="External"/><Relationship Id="rId542" Type="http://schemas.openxmlformats.org/officeDocument/2006/relationships/hyperlink" Target="http://www.jfny.org/" TargetMode="External"/><Relationship Id="rId584" Type="http://schemas.openxmlformats.org/officeDocument/2006/relationships/hyperlink" Target="http://www.asha.org/" TargetMode="External"/><Relationship Id="rId5" Type="http://schemas.openxmlformats.org/officeDocument/2006/relationships/hyperlink" Target="http://grants.nih.gov/grants/guide/pa-files/PAR-15-275.html" TargetMode="External"/><Relationship Id="rId181" Type="http://schemas.openxmlformats.org/officeDocument/2006/relationships/hyperlink" Target="http://saba.abainternational.org/grants/International-Development-Grant" TargetMode="External"/><Relationship Id="rId237" Type="http://schemas.openxmlformats.org/officeDocument/2006/relationships/hyperlink" Target="http://www.apap365.org/KNOWLEDGE/GrantPrograms/Pages/cef.aspx" TargetMode="External"/><Relationship Id="rId402" Type="http://schemas.openxmlformats.org/officeDocument/2006/relationships/hyperlink" Target="https://grants.nih.gov/grants/guide/pa-files/PA-15-262.html" TargetMode="External"/><Relationship Id="rId279" Type="http://schemas.openxmlformats.org/officeDocument/2006/relationships/hyperlink" Target="https://cla.umn.edu/ihrc/michael-g-karni-scholarship" TargetMode="External"/><Relationship Id="rId444" Type="http://schemas.openxmlformats.org/officeDocument/2006/relationships/hyperlink" Target="http://www.aarome.org/" TargetMode="External"/><Relationship Id="rId486" Type="http://schemas.openxmlformats.org/officeDocument/2006/relationships/hyperlink" Target="https://www.neh.gov/grants/research/scholarly-editions-and-translations-grants" TargetMode="External"/><Relationship Id="rId43" Type="http://schemas.openxmlformats.org/officeDocument/2006/relationships/hyperlink" Target="https://www.nsf.gov/funding/pgm_summ.jsp?pims_id=5407" TargetMode="External"/><Relationship Id="rId139" Type="http://schemas.openxmlformats.org/officeDocument/2006/relationships/hyperlink" Target="http://ethics.utoronto.ca/people/visiting-faculty-fellowships/" TargetMode="External"/><Relationship Id="rId290" Type="http://schemas.openxmlformats.org/officeDocument/2006/relationships/hyperlink" Target="https://www.jove.com/" TargetMode="External"/><Relationship Id="rId304" Type="http://schemas.openxmlformats.org/officeDocument/2006/relationships/hyperlink" Target="https://www.nationalgeographic.org/grants" TargetMode="External"/><Relationship Id="rId346" Type="http://schemas.openxmlformats.org/officeDocument/2006/relationships/hyperlink" Target="https://www.radcliffe.harvard.edu/fellowship-program" TargetMode="External"/><Relationship Id="rId388" Type="http://schemas.openxmlformats.org/officeDocument/2006/relationships/hyperlink" Target="https://www.obama.org/fellowship/" TargetMode="External"/><Relationship Id="rId511" Type="http://schemas.openxmlformats.org/officeDocument/2006/relationships/hyperlink" Target="http://www.nyhumanities.org/grants/?utm_source=Newsletter&amp;utm_campaign=fcbb0f6ad9-March+2015+enews&amp;utm_medium=email&amp;utm_term=0_4156e3c688-fcbb0f6ad9-289254681" TargetMode="External"/><Relationship Id="rId553" Type="http://schemas.openxmlformats.org/officeDocument/2006/relationships/hyperlink" Target="http://www.neh.gov/divisions/education/summer-programs" TargetMode="External"/><Relationship Id="rId85" Type="http://schemas.openxmlformats.org/officeDocument/2006/relationships/hyperlink" Target="https://www.mpiwg-berlin.mpg.de/" TargetMode="External"/><Relationship Id="rId150" Type="http://schemas.openxmlformats.org/officeDocument/2006/relationships/hyperlink" Target="http://www.acha.org/ACHA/Foundation/FirstRisk_Award.aspx?WebsiteKey=03f1a0d5-4c58-4ff4-9b6b-764854022ac1" TargetMode="External"/><Relationship Id="rId192" Type="http://schemas.openxmlformats.org/officeDocument/2006/relationships/hyperlink" Target="http://www.apa.org/apf/funding/sparks-early-career.aspx" TargetMode="External"/><Relationship Id="rId206" Type="http://schemas.openxmlformats.org/officeDocument/2006/relationships/hyperlink" Target="http://www.botstiber.org/austrian/grants/grantsguidelines.html" TargetMode="External"/><Relationship Id="rId413" Type="http://schemas.openxmlformats.org/officeDocument/2006/relationships/hyperlink" Target="https://www.eui.eu/" TargetMode="External"/><Relationship Id="rId248" Type="http://schemas.openxmlformats.org/officeDocument/2006/relationships/hyperlink" Target="https://www.historians.org/awards-and-grants/awards-and-prizes/joan-kelly-memorial-prize" TargetMode="External"/><Relationship Id="rId455" Type="http://schemas.openxmlformats.org/officeDocument/2006/relationships/hyperlink" Target="http://www.apa.org/" TargetMode="External"/><Relationship Id="rId497" Type="http://schemas.openxmlformats.org/officeDocument/2006/relationships/hyperlink" Target="https://www.whiting.org/" TargetMode="External"/><Relationship Id="rId12" Type="http://schemas.openxmlformats.org/officeDocument/2006/relationships/hyperlink" Target="http://societyhumanities.as.cornell.edu/" TargetMode="External"/><Relationship Id="rId108" Type="http://schemas.openxmlformats.org/officeDocument/2006/relationships/hyperlink" Target="https://asecs.press.jhu.edu/" TargetMode="External"/><Relationship Id="rId315" Type="http://schemas.openxmlformats.org/officeDocument/2006/relationships/hyperlink" Target="https://www.nsf.gov/funding/pgm_summ.jsp?pims_id=503418" TargetMode="External"/><Relationship Id="rId357" Type="http://schemas.openxmlformats.org/officeDocument/2006/relationships/hyperlink" Target="https://www.gf.org/applicants/" TargetMode="External"/><Relationship Id="rId522" Type="http://schemas.openxmlformats.org/officeDocument/2006/relationships/hyperlink" Target="http://www.theinvestigativefund.org/about/1808/puffin_foundation_investigative_fund" TargetMode="External"/><Relationship Id="rId54" Type="http://schemas.openxmlformats.org/officeDocument/2006/relationships/hyperlink" Target="https://www.si.edu/" TargetMode="External"/><Relationship Id="rId96" Type="http://schemas.openxmlformats.org/officeDocument/2006/relationships/hyperlink" Target="https://neuroscience.mcknight.org/the-awards/scholar" TargetMode="External"/><Relationship Id="rId161" Type="http://schemas.openxmlformats.org/officeDocument/2006/relationships/hyperlink" Target="https://www.wabashcenter.wabash.edu/wabash-grants/project-grants/" TargetMode="External"/><Relationship Id="rId217" Type="http://schemas.openxmlformats.org/officeDocument/2006/relationships/hyperlink" Target="http://www.apa.org/apf/index.aspx" TargetMode="External"/><Relationship Id="rId399" Type="http://schemas.openxmlformats.org/officeDocument/2006/relationships/hyperlink" Target="https://ndias.nd.edu/" TargetMode="External"/><Relationship Id="rId564" Type="http://schemas.openxmlformats.org/officeDocument/2006/relationships/hyperlink" Target="http://iris.isr.umich.edu/" TargetMode="External"/><Relationship Id="rId259" Type="http://schemas.openxmlformats.org/officeDocument/2006/relationships/hyperlink" Target="https://www.russellsage.org/research/race-ethnicity-immigration" TargetMode="External"/><Relationship Id="rId424" Type="http://schemas.openxmlformats.org/officeDocument/2006/relationships/hyperlink" Target="https://www.nsf.gov/funding/pgm_summ.jsp?pims_id=503418" TargetMode="External"/><Relationship Id="rId466" Type="http://schemas.openxmlformats.org/officeDocument/2006/relationships/hyperlink" Target="https://www.nih.gov/" TargetMode="External"/><Relationship Id="rId23" Type="http://schemas.openxmlformats.org/officeDocument/2006/relationships/hyperlink" Target="https://nhfp.stsci.edu/" TargetMode="External"/><Relationship Id="rId119" Type="http://schemas.openxmlformats.org/officeDocument/2006/relationships/hyperlink" Target="https://pcmi.ias.edu/" TargetMode="External"/><Relationship Id="rId270" Type="http://schemas.openxmlformats.org/officeDocument/2006/relationships/hyperlink" Target="http://www.vilcek.org/prizes/creative-promise/index.html" TargetMode="External"/><Relationship Id="rId326" Type="http://schemas.openxmlformats.org/officeDocument/2006/relationships/hyperlink" Target="http://www.cies.org/program/core-fulbright-us-scholar-program" TargetMode="External"/><Relationship Id="rId533" Type="http://schemas.openxmlformats.org/officeDocument/2006/relationships/hyperlink" Target="https://www.acs.org/content/acs/en/funding-and-awards/grants/acscommunity.html?_ga=2.200502508.330963792.1510336090-405814502.1510336090" TargetMode="External"/><Relationship Id="rId65" Type="http://schemas.openxmlformats.org/officeDocument/2006/relationships/hyperlink" Target="http://delmas.org/" TargetMode="External"/><Relationship Id="rId130" Type="http://schemas.openxmlformats.org/officeDocument/2006/relationships/hyperlink" Target="http://www.caorc.org/" TargetMode="External"/><Relationship Id="rId368" Type="http://schemas.openxmlformats.org/officeDocument/2006/relationships/hyperlink" Target="http://www.sah.org/jobs-and-careers/sah-fellowships-and-grants/h-allen-brooks-travelling-fellowship" TargetMode="External"/><Relationship Id="rId575" Type="http://schemas.openxmlformats.org/officeDocument/2006/relationships/hyperlink" Target="http://www.harvard.edu/" TargetMode="External"/><Relationship Id="rId172" Type="http://schemas.openxmlformats.org/officeDocument/2006/relationships/hyperlink" Target="http://www.ucrossfoundation.org/residency-program/" TargetMode="External"/><Relationship Id="rId228" Type="http://schemas.openxmlformats.org/officeDocument/2006/relationships/hyperlink" Target="https://theccwh.org/ccwh-awards/chaudhuri-first-article-prize/" TargetMode="External"/><Relationship Id="rId435" Type="http://schemas.openxmlformats.org/officeDocument/2006/relationships/hyperlink" Target="https://www.nsf.gov/funding/pgm_summ.jsp?pims_id=504813" TargetMode="External"/><Relationship Id="rId477" Type="http://schemas.openxmlformats.org/officeDocument/2006/relationships/hyperlink" Target="https://www.nsf.gov/funding/pgm_summ.jsp?pims_id=5269" TargetMode="External"/><Relationship Id="rId281" Type="http://schemas.openxmlformats.org/officeDocument/2006/relationships/hyperlink" Target="http://clah.h-net.org/" TargetMode="External"/><Relationship Id="rId337" Type="http://schemas.openxmlformats.org/officeDocument/2006/relationships/hyperlink" Target="http://www.nsf.gov/funding/pgm_summ.jsp?pims_id=5423" TargetMode="External"/><Relationship Id="rId502" Type="http://schemas.openxmlformats.org/officeDocument/2006/relationships/hyperlink" Target="http://www.chibs.edu.tw/eng_html/index_eng00.html" TargetMode="External"/><Relationship Id="rId34" Type="http://schemas.openxmlformats.org/officeDocument/2006/relationships/hyperlink" Target="https://www.nsf.gov/funding/pgm_summ.jsp?pims_id=504793" TargetMode="External"/><Relationship Id="rId76" Type="http://schemas.openxmlformats.org/officeDocument/2006/relationships/hyperlink" Target="https://www.nsf.gov/publications/pub_summ.jsp?ods_key=nsf18501" TargetMode="External"/><Relationship Id="rId141" Type="http://schemas.openxmlformats.org/officeDocument/2006/relationships/hyperlink" Target="http://classics.uc.edu/index.php/tytus/64-tytusinfo" TargetMode="External"/><Relationship Id="rId379" Type="http://schemas.openxmlformats.org/officeDocument/2006/relationships/hyperlink" Target="https://www.nsf.gov/funding/pgm_summ.jsp?pims_id=504796&amp;org=NSF" TargetMode="External"/><Relationship Id="rId544" Type="http://schemas.openxmlformats.org/officeDocument/2006/relationships/hyperlink" Target="http://www.jfny.org/" TargetMode="External"/><Relationship Id="rId586" Type="http://schemas.openxmlformats.org/officeDocument/2006/relationships/hyperlink" Target="https://clags.org/" TargetMode="External"/><Relationship Id="rId7" Type="http://schemas.openxmlformats.org/officeDocument/2006/relationships/hyperlink" Target="https://sloan.org/" TargetMode="External"/><Relationship Id="rId183" Type="http://schemas.openxmlformats.org/officeDocument/2006/relationships/hyperlink" Target="http://www.apa.org/apf/funding/rosen.aspx?tab=1" TargetMode="External"/><Relationship Id="rId239" Type="http://schemas.openxmlformats.org/officeDocument/2006/relationships/hyperlink" Target="http://www.spencer.org/" TargetMode="External"/><Relationship Id="rId390" Type="http://schemas.openxmlformats.org/officeDocument/2006/relationships/hyperlink" Target="https://www.nsf.gov/pubs/2015/nsf15526/nsf15526.htm" TargetMode="External"/><Relationship Id="rId404" Type="http://schemas.openxmlformats.org/officeDocument/2006/relationships/hyperlink" Target="https://grants.nih.gov/grants/guide/pa-files/PA-17-324.htmlhttps:/grants.nih.gov/grants/guide/pa-files/PA-17-324.html" TargetMode="External"/><Relationship Id="rId446" Type="http://schemas.openxmlformats.org/officeDocument/2006/relationships/hyperlink" Target="https://lclf.harvard.edu/" TargetMode="External"/><Relationship Id="rId250" Type="http://schemas.openxmlformats.org/officeDocument/2006/relationships/hyperlink" Target="https://theccwh.org/ccwh-awards/catherine-prelinger-award/" TargetMode="External"/><Relationship Id="rId292" Type="http://schemas.openxmlformats.org/officeDocument/2006/relationships/hyperlink" Target="https://www.simonsfoundation.org/" TargetMode="External"/><Relationship Id="rId306" Type="http://schemas.openxmlformats.org/officeDocument/2006/relationships/hyperlink" Target="https://clags.org/" TargetMode="External"/><Relationship Id="rId488" Type="http://schemas.openxmlformats.org/officeDocument/2006/relationships/hyperlink" Target="https://www.gottliebfoundation.org/individual-support-grant-1/" TargetMode="External"/><Relationship Id="rId45" Type="http://schemas.openxmlformats.org/officeDocument/2006/relationships/hyperlink" Target="http://isaw.nyu.edu/visiting-scholars" TargetMode="External"/><Relationship Id="rId87" Type="http://schemas.openxmlformats.org/officeDocument/2006/relationships/hyperlink" Target="https://www.thebrf.org/" TargetMode="External"/><Relationship Id="rId110" Type="http://schemas.openxmlformats.org/officeDocument/2006/relationships/hyperlink" Target="https://www.brown.edu/academics/libraries/john-carter-brown/events-publications/new-initiative-collaboration-grants" TargetMode="External"/><Relationship Id="rId348" Type="http://schemas.openxmlformats.org/officeDocument/2006/relationships/hyperlink" Target="http://www.gei.de/en/fellowships-awards/fellowship-programme.html" TargetMode="External"/><Relationship Id="rId513" Type="http://schemas.openxmlformats.org/officeDocument/2006/relationships/hyperlink" Target="http://www.foundationforcontemporaryarts.org/" TargetMode="External"/><Relationship Id="rId555" Type="http://schemas.openxmlformats.org/officeDocument/2006/relationships/hyperlink" Target="http://www.american-music.org/awards/BlockFellowship.php" TargetMode="External"/><Relationship Id="rId152" Type="http://schemas.openxmlformats.org/officeDocument/2006/relationships/hyperlink" Target="https://www.radcliffe.harvard.edu/" TargetMode="External"/><Relationship Id="rId194" Type="http://schemas.openxmlformats.org/officeDocument/2006/relationships/hyperlink" Target="https://www.fordlibrarymuseum.gov/library/foundationgrants.asp" TargetMode="External"/><Relationship Id="rId208" Type="http://schemas.openxmlformats.org/officeDocument/2006/relationships/hyperlink" Target="https://www.accessgroup.org/research/legal-education-diversity-pipeline-grant-program" TargetMode="External"/><Relationship Id="rId415" Type="http://schemas.openxmlformats.org/officeDocument/2006/relationships/hyperlink" Target="https://www.nsf.gov/funding/pgm_summ.jsp?pims_id=503418" TargetMode="External"/><Relationship Id="rId457" Type="http://schemas.openxmlformats.org/officeDocument/2006/relationships/hyperlink" Target="https://www.nsf.gov/funding/pgm_summ.jsp?pims_id=503418" TargetMode="External"/><Relationship Id="rId261" Type="http://schemas.openxmlformats.org/officeDocument/2006/relationships/hyperlink" Target="https://www.okeeffemuseum.org/research-center/fellowship-program/" TargetMode="External"/><Relationship Id="rId499" Type="http://schemas.openxmlformats.org/officeDocument/2006/relationships/hyperlink" Target="http://ofrf.org/research/database" TargetMode="External"/><Relationship Id="rId14" Type="http://schemas.openxmlformats.org/officeDocument/2006/relationships/hyperlink" Target="https://www.amphilsoc.org/grants/franklin-research-grants" TargetMode="External"/><Relationship Id="rId56" Type="http://schemas.openxmlformats.org/officeDocument/2006/relationships/hyperlink" Target="http://www.austenriggs.org/erikson-scholar-program" TargetMode="External"/><Relationship Id="rId317" Type="http://schemas.openxmlformats.org/officeDocument/2006/relationships/hyperlink" Target="http://www.nsf.gov/funding/pgm_summ.jsp?pims_id=5408" TargetMode="External"/><Relationship Id="rId359" Type="http://schemas.openxmlformats.org/officeDocument/2006/relationships/hyperlink" Target="http://www.americanacademy.de/apply/apply-for-a-fellowship/" TargetMode="External"/><Relationship Id="rId524" Type="http://schemas.openxmlformats.org/officeDocument/2006/relationships/hyperlink" Target="http://pulitzercenter.org/grants/how-apply" TargetMode="External"/><Relationship Id="rId566" Type="http://schemas.openxmlformats.org/officeDocument/2006/relationships/hyperlink" Target="http://fitchfoundation.org/" TargetMode="External"/><Relationship Id="rId98" Type="http://schemas.openxmlformats.org/officeDocument/2006/relationships/hyperlink" Target="https://www.arts.gov/grants-individuals/translation-projects" TargetMode="External"/><Relationship Id="rId121" Type="http://schemas.openxmlformats.org/officeDocument/2006/relationships/hyperlink" Target="http://www.kauffman.org/microsites/kjff" TargetMode="External"/><Relationship Id="rId163" Type="http://schemas.openxmlformats.org/officeDocument/2006/relationships/hyperlink" Target="https://www.societyforfrenchhistoricalstudies.net/research-travel-prize/" TargetMode="External"/><Relationship Id="rId219" Type="http://schemas.openxmlformats.org/officeDocument/2006/relationships/hyperlink" Target="http://www.srs.org/" TargetMode="External"/><Relationship Id="rId370" Type="http://schemas.openxmlformats.org/officeDocument/2006/relationships/hyperlink" Target="http://www.grammymuseum.org/programs/grants-program" TargetMode="External"/><Relationship Id="rId426" Type="http://schemas.openxmlformats.org/officeDocument/2006/relationships/hyperlink" Target="https://www.nsf.gov/funding/pgm_summ.jsp?pims_id=503418" TargetMode="External"/><Relationship Id="rId230" Type="http://schemas.openxmlformats.org/officeDocument/2006/relationships/hyperlink" Target="http://www.apa.org/apf/index.aspx" TargetMode="External"/><Relationship Id="rId468" Type="http://schemas.openxmlformats.org/officeDocument/2006/relationships/hyperlink" Target="https://www.nih.gov/" TargetMode="External"/><Relationship Id="rId25" Type="http://schemas.openxmlformats.org/officeDocument/2006/relationships/hyperlink" Target="https://uchv.princeton.edu/fellowships-awards/faculty-grants" TargetMode="External"/><Relationship Id="rId67" Type="http://schemas.openxmlformats.org/officeDocument/2006/relationships/hyperlink" Target="http://gruber.yale.edu/" TargetMode="External"/><Relationship Id="rId272" Type="http://schemas.openxmlformats.org/officeDocument/2006/relationships/hyperlink" Target="http://www.vilcek.org/prizes/creative-promise/index.html" TargetMode="External"/><Relationship Id="rId328" Type="http://schemas.openxmlformats.org/officeDocument/2006/relationships/hyperlink" Target="https://research.google.com/" TargetMode="External"/><Relationship Id="rId535" Type="http://schemas.openxmlformats.org/officeDocument/2006/relationships/hyperlink" Target="https://nyscf.org/programs/extramural-grants/applicants/neuroscience-investigator-awards/" TargetMode="External"/><Relationship Id="rId577" Type="http://schemas.openxmlformats.org/officeDocument/2006/relationships/hyperlink" Target="http://www.archives.nysed.gov/grants/hackman" TargetMode="External"/><Relationship Id="rId132" Type="http://schemas.openxmlformats.org/officeDocument/2006/relationships/hyperlink" Target="http://aimsnorthafrica.org/long-and-short-term-grants/" TargetMode="External"/><Relationship Id="rId174" Type="http://schemas.openxmlformats.org/officeDocument/2006/relationships/hyperlink" Target="http://www.jmkfund.org/" TargetMode="External"/><Relationship Id="rId381" Type="http://schemas.openxmlformats.org/officeDocument/2006/relationships/hyperlink" Target="https://www.nsf.gov/funding/pgm_summ.jsp?pims_id=504807" TargetMode="External"/><Relationship Id="rId241" Type="http://schemas.openxmlformats.org/officeDocument/2006/relationships/hyperlink" Target="https://www.rockefellerfoundation.org/" TargetMode="External"/><Relationship Id="rId437" Type="http://schemas.openxmlformats.org/officeDocument/2006/relationships/hyperlink" Target="https://www.nsf.gov/funding/pgm_summ.jsp?pims_id=504687" TargetMode="External"/><Relationship Id="rId479" Type="http://schemas.openxmlformats.org/officeDocument/2006/relationships/hyperlink" Target="https://www.nsf.gov/funding/pgm_summ.jsp?pims_id=13630" TargetMode="External"/><Relationship Id="rId36" Type="http://schemas.openxmlformats.org/officeDocument/2006/relationships/hyperlink" Target="https://lapa.princeton.edu/" TargetMode="External"/><Relationship Id="rId283" Type="http://schemas.openxmlformats.org/officeDocument/2006/relationships/hyperlink" Target="https://www.culinaryhistoriansny.org/awards-grants/the-scholars-grant/" TargetMode="External"/><Relationship Id="rId339" Type="http://schemas.openxmlformats.org/officeDocument/2006/relationships/hyperlink" Target="https://www.russellsage.org/" TargetMode="External"/><Relationship Id="rId490" Type="http://schemas.openxmlformats.org/officeDocument/2006/relationships/hyperlink" Target="http://britishart.yale.edu/research/residential-scholar-awards/visiting-scholar-awards" TargetMode="External"/><Relationship Id="rId504" Type="http://schemas.openxmlformats.org/officeDocument/2006/relationships/hyperlink" Target="http://delmas.org/" TargetMode="External"/><Relationship Id="rId546" Type="http://schemas.openxmlformats.org/officeDocument/2006/relationships/hyperlink" Target="https://www.nsf.gov/funding/pgm_summ.jsp?pims_id=503634" TargetMode="External"/><Relationship Id="rId78" Type="http://schemas.openxmlformats.org/officeDocument/2006/relationships/hyperlink" Target="https://www.aacc.org/community/awards/outstanding-scientific-achievements-by-a-young-investigator" TargetMode="External"/><Relationship Id="rId101" Type="http://schemas.openxmlformats.org/officeDocument/2006/relationships/hyperlink" Target="https://www.nsf.gov/" TargetMode="External"/><Relationship Id="rId143" Type="http://schemas.openxmlformats.org/officeDocument/2006/relationships/hyperlink" Target="https://bbrfoundation.org/" TargetMode="External"/><Relationship Id="rId185" Type="http://schemas.openxmlformats.org/officeDocument/2006/relationships/hyperlink" Target="https://www.kettering.org/shared-learning/katherine-w-fanning-residency-journalism-democracy" TargetMode="External"/><Relationship Id="rId350" Type="http://schemas.openxmlformats.org/officeDocument/2006/relationships/hyperlink" Target="http://www.oclc.org/research/grants/call.html" TargetMode="External"/><Relationship Id="rId406" Type="http://schemas.openxmlformats.org/officeDocument/2006/relationships/hyperlink" Target="https://www.nsf.gov/funding/pgm_summ.jsp?pims_id=5750" TargetMode="External"/><Relationship Id="rId588" Type="http://schemas.openxmlformats.org/officeDocument/2006/relationships/hyperlink" Target="http://www.nsf.gov/funding/pgm_summ.jsp?pims_id=503623&amp;WT.mc_id=USNSF_39&amp;WT.mc_ev=click" TargetMode="External"/><Relationship Id="rId9" Type="http://schemas.openxmlformats.org/officeDocument/2006/relationships/hyperlink" Target="https://www.simonsfoundation.org/" TargetMode="External"/><Relationship Id="rId210" Type="http://schemas.openxmlformats.org/officeDocument/2006/relationships/hyperlink" Target="https://www.historians.org/awards-and-grants/grants-and-fellowships/j-franklin-jameson-fellowship" TargetMode="External"/><Relationship Id="rId392" Type="http://schemas.openxmlformats.org/officeDocument/2006/relationships/hyperlink" Target="https://www.spencer.org/lyle-spencer-research-awards" TargetMode="External"/><Relationship Id="rId448" Type="http://schemas.openxmlformats.org/officeDocument/2006/relationships/hyperlink" Target="https://www.sns.ias.edu/apply" TargetMode="External"/><Relationship Id="rId252" Type="http://schemas.openxmlformats.org/officeDocument/2006/relationships/hyperlink" Target="http://www.dreyfus.org/" TargetMode="External"/><Relationship Id="rId294" Type="http://schemas.openxmlformats.org/officeDocument/2006/relationships/hyperlink" Target="https://www.acs.org/content/acs/en.html" TargetMode="External"/><Relationship Id="rId308" Type="http://schemas.openxmlformats.org/officeDocument/2006/relationships/hyperlink" Target="http://www.indiastudies.org/" TargetMode="External"/><Relationship Id="rId515" Type="http://schemas.openxmlformats.org/officeDocument/2006/relationships/hyperlink" Target="http://pkf.org/" TargetMode="External"/><Relationship Id="rId47" Type="http://schemas.openxmlformats.org/officeDocument/2006/relationships/hyperlink" Target="https://www.nsf.gov/funding/pgm_summ.jsp?pims_id=13681" TargetMode="External"/><Relationship Id="rId89" Type="http://schemas.openxmlformats.org/officeDocument/2006/relationships/hyperlink" Target="https://www.rusaupdate.org/awards/hs-learning-history-research-and-innovation-award/" TargetMode="External"/><Relationship Id="rId112" Type="http://schemas.openxmlformats.org/officeDocument/2006/relationships/hyperlink" Target="http://www.bfny.org/en/apply" TargetMode="External"/><Relationship Id="rId154" Type="http://schemas.openxmlformats.org/officeDocument/2006/relationships/hyperlink" Target="http://grants.nih.gov/grants/funding/r01.htm" TargetMode="External"/><Relationship Id="rId361" Type="http://schemas.openxmlformats.org/officeDocument/2006/relationships/hyperlink" Target="http://www.feminist-review-trust.com/awards/" TargetMode="External"/><Relationship Id="rId557" Type="http://schemas.openxmlformats.org/officeDocument/2006/relationships/hyperlink" Target="https://www.arts.gov/grants-organizations/research-art-works" TargetMode="External"/><Relationship Id="rId196" Type="http://schemas.openxmlformats.org/officeDocument/2006/relationships/hyperlink" Target="https://www.acs.org/content/acs/en/funding-and-awards/grants/prf/programs/uni.html" TargetMode="External"/><Relationship Id="rId417" Type="http://schemas.openxmlformats.org/officeDocument/2006/relationships/hyperlink" Target="https://www.nsf.gov/funding/pgm_summ.jsp?pims_id=503418" TargetMode="External"/><Relationship Id="rId459" Type="http://schemas.openxmlformats.org/officeDocument/2006/relationships/hyperlink" Target="https://www.archaeological.org/grants/702" TargetMode="External"/><Relationship Id="rId16" Type="http://schemas.openxmlformats.org/officeDocument/2006/relationships/hyperlink" Target="http://www.botstiber.org/austrian/" TargetMode="External"/><Relationship Id="rId221" Type="http://schemas.openxmlformats.org/officeDocument/2006/relationships/hyperlink" Target="http://www.apsanet.org/smallresearchgrant" TargetMode="External"/><Relationship Id="rId242" Type="http://schemas.openxmlformats.org/officeDocument/2006/relationships/hyperlink" Target="https://www.rockefellerfoundation.org/our-work/bellagio-center/residency-program/" TargetMode="External"/><Relationship Id="rId263" Type="http://schemas.openxmlformats.org/officeDocument/2006/relationships/hyperlink" Target="https://eastwestdialogue.org/fellowship/" TargetMode="External"/><Relationship Id="rId284" Type="http://schemas.openxmlformats.org/officeDocument/2006/relationships/hyperlink" Target="https://www.neh.gov/" TargetMode="External"/><Relationship Id="rId319" Type="http://schemas.openxmlformats.org/officeDocument/2006/relationships/hyperlink" Target="http://www.nsf.gov/funding/pgm_summ.jsp?pims_id=503214" TargetMode="External"/><Relationship Id="rId470" Type="http://schemas.openxmlformats.org/officeDocument/2006/relationships/hyperlink" Target="https://www.newberry.org/" TargetMode="External"/><Relationship Id="rId491" Type="http://schemas.openxmlformats.org/officeDocument/2006/relationships/hyperlink" Target="http://britishart.yale.edu/research/residential-scholar-awards/visiting-scholar-awards" TargetMode="External"/><Relationship Id="rId505" Type="http://schemas.openxmlformats.org/officeDocument/2006/relationships/hyperlink" Target="http://delmas.org/programs/" TargetMode="External"/><Relationship Id="rId526" Type="http://schemas.openxmlformats.org/officeDocument/2006/relationships/hyperlink" Target="http://www.austenriggs.org/" TargetMode="External"/><Relationship Id="rId37" Type="http://schemas.openxmlformats.org/officeDocument/2006/relationships/hyperlink" Target="https://lapa.princeton.edu/content/lapa-fellowships" TargetMode="External"/><Relationship Id="rId58" Type="http://schemas.openxmlformats.org/officeDocument/2006/relationships/hyperlink" Target="https://pcaaca.org/resources/pca-endowment-grants" TargetMode="External"/><Relationship Id="rId79" Type="http://schemas.openxmlformats.org/officeDocument/2006/relationships/hyperlink" Target="https://www.nsf.gov/funding/pgm_summ.jsp?pims_id=503418" TargetMode="External"/><Relationship Id="rId102" Type="http://schemas.openxmlformats.org/officeDocument/2006/relationships/hyperlink" Target="https://www.nsf.gov/pubs/2017/nsf17597/nsf17597.htm?org=NSF" TargetMode="External"/><Relationship Id="rId123" Type="http://schemas.openxmlformats.org/officeDocument/2006/relationships/hyperlink" Target="http://www.nsf.gov/funding/pgm_summ.jsp?pims_id=5712" TargetMode="External"/><Relationship Id="rId144" Type="http://schemas.openxmlformats.org/officeDocument/2006/relationships/hyperlink" Target="https://bbrfoundation.org/yi" TargetMode="External"/><Relationship Id="rId330" Type="http://schemas.openxmlformats.org/officeDocument/2006/relationships/hyperlink" Target="http://www.hfg.org/rg/guidelines.htm" TargetMode="External"/><Relationship Id="rId547" Type="http://schemas.openxmlformats.org/officeDocument/2006/relationships/hyperlink" Target="http://www.nsf.gov/funding/pgm_summ.jsp?pims_id=13544&amp;amp;WT.mc_id=USNSF_39&amp;amp;WT.mc_ev=click" TargetMode="External"/><Relationship Id="rId568" Type="http://schemas.openxmlformats.org/officeDocument/2006/relationships/hyperlink" Target="http://www.huntington.org/fellowships/" TargetMode="External"/><Relationship Id="rId589" Type="http://schemas.openxmlformats.org/officeDocument/2006/relationships/printerSettings" Target="../printerSettings/printerSettings1.bin"/><Relationship Id="rId90" Type="http://schemas.openxmlformats.org/officeDocument/2006/relationships/hyperlink" Target="http://www.apa.org/" TargetMode="External"/><Relationship Id="rId165" Type="http://schemas.openxmlformats.org/officeDocument/2006/relationships/hyperlink" Target="http://www.klingfund.org/index.php" TargetMode="External"/><Relationship Id="rId186" Type="http://schemas.openxmlformats.org/officeDocument/2006/relationships/hyperlink" Target="https://www.amphilsoc.org/" TargetMode="External"/><Relationship Id="rId351" Type="http://schemas.openxmlformats.org/officeDocument/2006/relationships/hyperlink" Target="http://fdnweb.org/eppley/" TargetMode="External"/><Relationship Id="rId372" Type="http://schemas.openxmlformats.org/officeDocument/2006/relationships/hyperlink" Target="http://www.trumanlibraryinstitute.org/" TargetMode="External"/><Relationship Id="rId393" Type="http://schemas.openxmlformats.org/officeDocument/2006/relationships/hyperlink" Target="https://www.opensocietyfoundations.org/grants-search-results/38/all/all/all/now?f%5B0%5D=field_org_unit%3A10331" TargetMode="External"/><Relationship Id="rId407" Type="http://schemas.openxmlformats.org/officeDocument/2006/relationships/hyperlink" Target="https://www.nsf.gov/" TargetMode="External"/><Relationship Id="rId428" Type="http://schemas.openxmlformats.org/officeDocument/2006/relationships/hyperlink" Target="https://www.nsf.gov/funding/pgm_summ.jsp?pims_id=503418" TargetMode="External"/><Relationship Id="rId449" Type="http://schemas.openxmlformats.org/officeDocument/2006/relationships/hyperlink" Target="http://www.wmkeck.org/" TargetMode="External"/><Relationship Id="rId211" Type="http://schemas.openxmlformats.org/officeDocument/2006/relationships/hyperlink" Target="http://www.kressfoundation.org/" TargetMode="External"/><Relationship Id="rId232" Type="http://schemas.openxmlformats.org/officeDocument/2006/relationships/hyperlink" Target="http://lgbts.yale.edu/research" TargetMode="External"/><Relationship Id="rId253" Type="http://schemas.openxmlformats.org/officeDocument/2006/relationships/hyperlink" Target="http://www.amielandmelburn.org.uk/apply-for-an-award/" TargetMode="External"/><Relationship Id="rId274" Type="http://schemas.openxmlformats.org/officeDocument/2006/relationships/hyperlink" Target="http://www.vilcek.org/prizes/creative-promise/biomedical-science.html" TargetMode="External"/><Relationship Id="rId295" Type="http://schemas.openxmlformats.org/officeDocument/2006/relationships/hyperlink" Target="https://www.acs.org/content/acs/en/funding-and-awards/awards/other/diversity/wcc-rising-star-award.html?_ga=2.264447181.330963792.1510336090-405814502.1510336090" TargetMode="External"/><Relationship Id="rId309" Type="http://schemas.openxmlformats.org/officeDocument/2006/relationships/hyperlink" Target="http://wtgrantfoundation.org/" TargetMode="External"/><Relationship Id="rId460" Type="http://schemas.openxmlformats.org/officeDocument/2006/relationships/hyperlink" Target="https://www.nctm.org/" TargetMode="External"/><Relationship Id="rId481" Type="http://schemas.openxmlformats.org/officeDocument/2006/relationships/hyperlink" Target="http://www.whjohnsongrant.org/grants.html" TargetMode="External"/><Relationship Id="rId516" Type="http://schemas.openxmlformats.org/officeDocument/2006/relationships/hyperlink" Target="http://pkf.org/our-grants/" TargetMode="External"/><Relationship Id="rId27" Type="http://schemas.openxmlformats.org/officeDocument/2006/relationships/hyperlink" Target="https://www.fws.gov/" TargetMode="External"/><Relationship Id="rId48" Type="http://schemas.openxmlformats.org/officeDocument/2006/relationships/hyperlink" Target="https://www.amphilsoc.org/" TargetMode="External"/><Relationship Id="rId69" Type="http://schemas.openxmlformats.org/officeDocument/2006/relationships/hyperlink" Target="http://gruber.yale.edu/" TargetMode="External"/><Relationship Id="rId113" Type="http://schemas.openxmlformats.org/officeDocument/2006/relationships/hyperlink" Target="http://www.bfny.org/en/apply" TargetMode="External"/><Relationship Id="rId134" Type="http://schemas.openxmlformats.org/officeDocument/2006/relationships/hyperlink" Target="http://www.chemheritage.org/research/beckman-center/beckman-center-fellowships/index.aspx?utm_source=BeckmanCenter&amp;utm_medium=web&amp;utm_campaign=redirect" TargetMode="External"/><Relationship Id="rId320" Type="http://schemas.openxmlformats.org/officeDocument/2006/relationships/hyperlink" Target="http://marconisociety.org/" TargetMode="External"/><Relationship Id="rId537" Type="http://schemas.openxmlformats.org/officeDocument/2006/relationships/hyperlink" Target="https://www.simonsfoundation.org/grant/targeted-grants-in-mps/" TargetMode="External"/><Relationship Id="rId558" Type="http://schemas.openxmlformats.org/officeDocument/2006/relationships/hyperlink" Target="https://www.harvard.edu/" TargetMode="External"/><Relationship Id="rId579" Type="http://schemas.openxmlformats.org/officeDocument/2006/relationships/hyperlink" Target="http://www.bwfund.org/grant-programs/regulatory-science/innovation-regulatory-science" TargetMode="External"/><Relationship Id="rId80" Type="http://schemas.openxmlformats.org/officeDocument/2006/relationships/hyperlink" Target="http://www.apa.org/apf/funding/rweiss.aspx" TargetMode="External"/><Relationship Id="rId155" Type="http://schemas.openxmlformats.org/officeDocument/2006/relationships/hyperlink" Target="http://www.neh.gov/grants/research/public-scholar-program" TargetMode="External"/><Relationship Id="rId176" Type="http://schemas.openxmlformats.org/officeDocument/2006/relationships/hyperlink" Target="http://www.baylor.edu/lib/texas/index.php?id=868670" TargetMode="External"/><Relationship Id="rId197" Type="http://schemas.openxmlformats.org/officeDocument/2006/relationships/hyperlink" Target="https://www.nga.gov/" TargetMode="External"/><Relationship Id="rId341" Type="http://schemas.openxmlformats.org/officeDocument/2006/relationships/hyperlink" Target="https://www.imls.gov/" TargetMode="External"/><Relationship Id="rId362" Type="http://schemas.openxmlformats.org/officeDocument/2006/relationships/hyperlink" Target="http://careyinstitute.org/" TargetMode="External"/><Relationship Id="rId383" Type="http://schemas.openxmlformats.org/officeDocument/2006/relationships/hyperlink" Target="https://www.nsf.gov/funding/pgm_summ.jsp?pims_id=503419" TargetMode="External"/><Relationship Id="rId418" Type="http://schemas.openxmlformats.org/officeDocument/2006/relationships/hyperlink" Target="https://www.nsf.gov/funding/pgm_summ.jsp?pims_id=503535" TargetMode="External"/><Relationship Id="rId439" Type="http://schemas.openxmlformats.org/officeDocument/2006/relationships/hyperlink" Target="https://www.simonsfoundation.org/mathematics-physical-sciences/simons-investigators/" TargetMode="External"/><Relationship Id="rId590" Type="http://schemas.openxmlformats.org/officeDocument/2006/relationships/table" Target="../tables/table1.xml"/><Relationship Id="rId201" Type="http://schemas.openxmlformats.org/officeDocument/2006/relationships/hyperlink" Target="https://www.neuroscience.mcknight.org/newsroom/upcoming-deadlines/2018-memory-cognitive-disorders-award" TargetMode="External"/><Relationship Id="rId222" Type="http://schemas.openxmlformats.org/officeDocument/2006/relationships/hyperlink" Target="http://www.midatlanticarts.org/" TargetMode="External"/><Relationship Id="rId243" Type="http://schemas.openxmlformats.org/officeDocument/2006/relationships/hyperlink" Target="http://www.wennergren.org/" TargetMode="External"/><Relationship Id="rId264" Type="http://schemas.openxmlformats.org/officeDocument/2006/relationships/hyperlink" Target="http://rsha.anu.edu.au/" TargetMode="External"/><Relationship Id="rId285" Type="http://schemas.openxmlformats.org/officeDocument/2006/relationships/hyperlink" Target="https://www.stonewallfoundation.org/" TargetMode="External"/><Relationship Id="rId450" Type="http://schemas.openxmlformats.org/officeDocument/2006/relationships/hyperlink" Target="http://www.wmkeck.org/grant-programs/research" TargetMode="External"/><Relationship Id="rId471" Type="http://schemas.openxmlformats.org/officeDocument/2006/relationships/hyperlink" Target="https://www.newberry.org/short-term-fellowships" TargetMode="External"/><Relationship Id="rId506" Type="http://schemas.openxmlformats.org/officeDocument/2006/relationships/hyperlink" Target="http://www.documentary.org/" TargetMode="External"/><Relationship Id="rId17" Type="http://schemas.openxmlformats.org/officeDocument/2006/relationships/hyperlink" Target="https://www.nga.gov/" TargetMode="External"/><Relationship Id="rId38" Type="http://schemas.openxmlformats.org/officeDocument/2006/relationships/hyperlink" Target="https://www.nsf.gov/" TargetMode="External"/><Relationship Id="rId59" Type="http://schemas.openxmlformats.org/officeDocument/2006/relationships/hyperlink" Target="https://www.nsf.gov/funding/pgm_summ.jsp?pims_id=504727" TargetMode="External"/><Relationship Id="rId103" Type="http://schemas.openxmlformats.org/officeDocument/2006/relationships/hyperlink" Target="http://hcl.harvard.edu/libraries/houghton/public_programs/visiting_fellowships.cfm" TargetMode="External"/><Relationship Id="rId124" Type="http://schemas.openxmlformats.org/officeDocument/2006/relationships/hyperlink" Target="http://www.apsanet.org/" TargetMode="External"/><Relationship Id="rId310" Type="http://schemas.openxmlformats.org/officeDocument/2006/relationships/hyperlink" Target="http://wtgrantfoundation.org/Grants" TargetMode="External"/><Relationship Id="rId492" Type="http://schemas.openxmlformats.org/officeDocument/2006/relationships/hyperlink" Target="http://www.winterthur.org/" TargetMode="External"/><Relationship Id="rId527" Type="http://schemas.openxmlformats.org/officeDocument/2006/relationships/hyperlink" Target="http://www.austenriggs.org/erikson-institute-erikson-scholar-program" TargetMode="External"/><Relationship Id="rId548" Type="http://schemas.openxmlformats.org/officeDocument/2006/relationships/hyperlink" Target="https://history.princeton.edu/centers-programs/shelby-cullom-davis-center" TargetMode="External"/><Relationship Id="rId569" Type="http://schemas.openxmlformats.org/officeDocument/2006/relationships/hyperlink" Target="https://www.usip.org/" TargetMode="External"/><Relationship Id="rId70" Type="http://schemas.openxmlformats.org/officeDocument/2006/relationships/hyperlink" Target="http://gruber.yale.edu/neuroscience-prize-nomination-criteria" TargetMode="External"/><Relationship Id="rId91" Type="http://schemas.openxmlformats.org/officeDocument/2006/relationships/hyperlink" Target="http://www.apa.org/about/awards/congress-fellow.aspx" TargetMode="External"/><Relationship Id="rId145" Type="http://schemas.openxmlformats.org/officeDocument/2006/relationships/hyperlink" Target="http://www.searlescholars.net/" TargetMode="External"/><Relationship Id="rId166" Type="http://schemas.openxmlformats.org/officeDocument/2006/relationships/hyperlink" Target="http://www.klingfund.org/index.php" TargetMode="External"/><Relationship Id="rId187" Type="http://schemas.openxmlformats.org/officeDocument/2006/relationships/hyperlink" Target="http://www.midatlanticarts.org/" TargetMode="External"/><Relationship Id="rId331" Type="http://schemas.openxmlformats.org/officeDocument/2006/relationships/hyperlink" Target="https://www.nsf.gov/pubs/2017/nsf17590/nsf17590.pdf" TargetMode="External"/><Relationship Id="rId352" Type="http://schemas.openxmlformats.org/officeDocument/2006/relationships/hyperlink" Target="https://www.neh.gov/grants/education/humanities-connections-planning-grants" TargetMode="External"/><Relationship Id="rId373" Type="http://schemas.openxmlformats.org/officeDocument/2006/relationships/hyperlink" Target="http://www.trumanlibraryinstitute.org/research-grants/" TargetMode="External"/><Relationship Id="rId394" Type="http://schemas.openxmlformats.org/officeDocument/2006/relationships/hyperlink" Target="https://www.opensocietyfoundations.org/grants/soros-justice-fellowships" TargetMode="External"/><Relationship Id="rId408" Type="http://schemas.openxmlformats.org/officeDocument/2006/relationships/hyperlink" Target="https://www.nsf.gov/funding/pgm_summ.jsp?from=fund&amp;orgAbbr=NSF&amp;pims_id=505338" TargetMode="External"/><Relationship Id="rId429" Type="http://schemas.openxmlformats.org/officeDocument/2006/relationships/hyperlink" Target="https://www.nsf.gov/funding/pgm_summ.jsp?pims_id=503422" TargetMode="External"/><Relationship Id="rId580" Type="http://schemas.openxmlformats.org/officeDocument/2006/relationships/hyperlink" Target="http://www.hfsp.org/" TargetMode="External"/><Relationship Id="rId1" Type="http://schemas.openxmlformats.org/officeDocument/2006/relationships/hyperlink" Target="https://asecs.press.jhu.edu/Weekly%20Announcements/clifford1.html" TargetMode="External"/><Relationship Id="rId212" Type="http://schemas.openxmlformats.org/officeDocument/2006/relationships/hyperlink" Target="http://www.kressfoundation.org/grants/default.aspx?id=150" TargetMode="External"/><Relationship Id="rId233" Type="http://schemas.openxmlformats.org/officeDocument/2006/relationships/hyperlink" Target="http://www.pmi.org/learning/academic-research/sponsored-research-program.aspx" TargetMode="External"/><Relationship Id="rId254" Type="http://schemas.openxmlformats.org/officeDocument/2006/relationships/hyperlink" Target="http://artisttrust.org/index.php/for-artists/grants" TargetMode="External"/><Relationship Id="rId440" Type="http://schemas.openxmlformats.org/officeDocument/2006/relationships/hyperlink" Target="https://www.cfr.org/" TargetMode="External"/><Relationship Id="rId28" Type="http://schemas.openxmlformats.org/officeDocument/2006/relationships/hyperlink" Target="https://www.fws.gov/birds/grants/neotropical-migratory-bird-conservation-act.php" TargetMode="External"/><Relationship Id="rId49" Type="http://schemas.openxmlformats.org/officeDocument/2006/relationships/hyperlink" Target="https://www.russellsage.org/" TargetMode="External"/><Relationship Id="rId114" Type="http://schemas.openxmlformats.org/officeDocument/2006/relationships/hyperlink" Target="http://www.huri.harvard.edu/" TargetMode="External"/><Relationship Id="rId275" Type="http://schemas.openxmlformats.org/officeDocument/2006/relationships/hyperlink" Target="https://wcfia.harvard.edu/" TargetMode="External"/><Relationship Id="rId296" Type="http://schemas.openxmlformats.org/officeDocument/2006/relationships/hyperlink" Target="https://www.asist.org/" TargetMode="External"/><Relationship Id="rId300" Type="http://schemas.openxmlformats.org/officeDocument/2006/relationships/hyperlink" Target="https://demingfund.org/funding-pd-8.php" TargetMode="External"/><Relationship Id="rId461" Type="http://schemas.openxmlformats.org/officeDocument/2006/relationships/hyperlink" Target="https://www.nctm.org/Grants-and-Awards/Grants/Pre-K-6-Classroom-Research-Grants/" TargetMode="External"/><Relationship Id="rId482" Type="http://schemas.openxmlformats.org/officeDocument/2006/relationships/hyperlink" Target="https://www.psychiatry.org/" TargetMode="External"/><Relationship Id="rId517" Type="http://schemas.openxmlformats.org/officeDocument/2006/relationships/hyperlink" Target="https://theihs.org/" TargetMode="External"/><Relationship Id="rId538" Type="http://schemas.openxmlformats.org/officeDocument/2006/relationships/hyperlink" Target="http://www.russellsage.org/" TargetMode="External"/><Relationship Id="rId559" Type="http://schemas.openxmlformats.org/officeDocument/2006/relationships/hyperlink" Target="http://hcl.harvard.edu/poetryroom/about/" TargetMode="External"/><Relationship Id="rId60" Type="http://schemas.openxmlformats.org/officeDocument/2006/relationships/hyperlink" Target="https://www.nsf.gov/funding/pgm_summ.jsp?pims_id=5319" TargetMode="External"/><Relationship Id="rId81" Type="http://schemas.openxmlformats.org/officeDocument/2006/relationships/hyperlink" Target="https://www.nsf.gov/funding/pgm_summ.jsp?pims_id=503418" TargetMode="External"/><Relationship Id="rId135" Type="http://schemas.openxmlformats.org/officeDocument/2006/relationships/hyperlink" Target="http://www.simonsfoundation.org/" TargetMode="External"/><Relationship Id="rId156" Type="http://schemas.openxmlformats.org/officeDocument/2006/relationships/hyperlink" Target="http://www.dreyfus.org/" TargetMode="External"/><Relationship Id="rId177" Type="http://schemas.openxmlformats.org/officeDocument/2006/relationships/hyperlink" Target="http://www.baylor.edu/lib/texas/index.php?id=868670" TargetMode="External"/><Relationship Id="rId198" Type="http://schemas.openxmlformats.org/officeDocument/2006/relationships/hyperlink" Target="https://www.nga.gov/research/casva/fellowships/visiting-senior-fellowships.html" TargetMode="External"/><Relationship Id="rId321" Type="http://schemas.openxmlformats.org/officeDocument/2006/relationships/hyperlink" Target="http://marconisociety.org/fellows/" TargetMode="External"/><Relationship Id="rId342" Type="http://schemas.openxmlformats.org/officeDocument/2006/relationships/hyperlink" Target="https://www.imls.gov/grants/available/national-leadership-grants-libraries/" TargetMode="External"/><Relationship Id="rId363" Type="http://schemas.openxmlformats.org/officeDocument/2006/relationships/hyperlink" Target="https://www.google.org/" TargetMode="External"/><Relationship Id="rId384" Type="http://schemas.openxmlformats.org/officeDocument/2006/relationships/hyperlink" Target="https://www.nsf.gov/funding/pgm_summ.jsp?pims_id=503418" TargetMode="External"/><Relationship Id="rId419" Type="http://schemas.openxmlformats.org/officeDocument/2006/relationships/hyperlink" Target="http://www.crassh.cam.ac.uk/programmes/balzan-skinner-fellowship" TargetMode="External"/><Relationship Id="rId570" Type="http://schemas.openxmlformats.org/officeDocument/2006/relationships/hyperlink" Target="https://www.usip.org/grants-fellowships/fellowships" TargetMode="External"/><Relationship Id="rId202" Type="http://schemas.openxmlformats.org/officeDocument/2006/relationships/hyperlink" Target="http://engineeringchallenges.org/14500/23671.aspx" TargetMode="External"/><Relationship Id="rId223" Type="http://schemas.openxmlformats.org/officeDocument/2006/relationships/hyperlink" Target="http://www.midatlanticarts.org/usartists-international/" TargetMode="External"/><Relationship Id="rId244" Type="http://schemas.openxmlformats.org/officeDocument/2006/relationships/hyperlink" Target="http://www.wennergren.org/" TargetMode="External"/><Relationship Id="rId430" Type="http://schemas.openxmlformats.org/officeDocument/2006/relationships/hyperlink" Target="https://www.nsf.gov/funding/pgm_summ.jsp?pims_id=503418" TargetMode="External"/><Relationship Id="rId18" Type="http://schemas.openxmlformats.org/officeDocument/2006/relationships/hyperlink" Target="https://www.nga.gov/research/casva/fellowships/senior-fellowships.html" TargetMode="External"/><Relationship Id="rId39" Type="http://schemas.openxmlformats.org/officeDocument/2006/relationships/hyperlink" Target="https://www.nsf.gov/funding/pgm_summ.jsp?pims_id=504833" TargetMode="External"/><Relationship Id="rId265" Type="http://schemas.openxmlformats.org/officeDocument/2006/relationships/hyperlink" Target="http://hrc.anu.edu.au/visiting-fellowships" TargetMode="External"/><Relationship Id="rId286" Type="http://schemas.openxmlformats.org/officeDocument/2006/relationships/hyperlink" Target="https://www.stonewallfoundation.org/grants/" TargetMode="External"/><Relationship Id="rId451" Type="http://schemas.openxmlformats.org/officeDocument/2006/relationships/hyperlink" Target="https://public.nrao.edu/" TargetMode="External"/><Relationship Id="rId472" Type="http://schemas.openxmlformats.org/officeDocument/2006/relationships/hyperlink" Target="https://www.aauw.org/" TargetMode="External"/><Relationship Id="rId493" Type="http://schemas.openxmlformats.org/officeDocument/2006/relationships/hyperlink" Target="http://winterthur.org/fellowship" TargetMode="External"/><Relationship Id="rId507" Type="http://schemas.openxmlformats.org/officeDocument/2006/relationships/hyperlink" Target="http://www.documentary.org/funding/pare-lorentz-doc-fund" TargetMode="External"/><Relationship Id="rId528" Type="http://schemas.openxmlformats.org/officeDocument/2006/relationships/hyperlink" Target="http://www.chemheritage.org/" TargetMode="External"/><Relationship Id="rId549" Type="http://schemas.openxmlformats.org/officeDocument/2006/relationships/hyperlink" Target="https://history.princeton.edu/centers-programs/shelby-cullom-davis-center/fellowships" TargetMode="External"/><Relationship Id="rId50" Type="http://schemas.openxmlformats.org/officeDocument/2006/relationships/hyperlink" Target="https://www.nypl.org/locations/schomburg" TargetMode="External"/><Relationship Id="rId104" Type="http://schemas.openxmlformats.org/officeDocument/2006/relationships/hyperlink" Target="http://hcl.harvard.edu/libraries/houghton/public_programs/visiting_fellowships.cfm" TargetMode="External"/><Relationship Id="rId125" Type="http://schemas.openxmlformats.org/officeDocument/2006/relationships/hyperlink" Target="http://www.apsanet.org/section-34-robert-l-jervis-and-paul-w-schroeder-best-book-award" TargetMode="External"/><Relationship Id="rId146" Type="http://schemas.openxmlformats.org/officeDocument/2006/relationships/hyperlink" Target="http://www.searlescholars.net/" TargetMode="External"/><Relationship Id="rId167" Type="http://schemas.openxmlformats.org/officeDocument/2006/relationships/hyperlink" Target="http://www.nsf.gov/funding/pgm_summ.jsp?pims_id=12724&amp;WT.mc_id=USNSF_39&amp;WT.mc_ev=click" TargetMode="External"/><Relationship Id="rId188" Type="http://schemas.openxmlformats.org/officeDocument/2006/relationships/hyperlink" Target="http://www.kauffman.org/" TargetMode="External"/><Relationship Id="rId311" Type="http://schemas.openxmlformats.org/officeDocument/2006/relationships/hyperlink" Target="http://wtgrantfoundation.org/grants/william-t-grant-scholars-program" TargetMode="External"/><Relationship Id="rId332" Type="http://schemas.openxmlformats.org/officeDocument/2006/relationships/hyperlink" Target="https://www.nsf.gov/funding/pgm_summ.jsp?pims_id=504727" TargetMode="External"/><Relationship Id="rId353" Type="http://schemas.openxmlformats.org/officeDocument/2006/relationships/hyperlink" Target="https://www.neh.gov/grants/education/humanities-connections-implementation-grants" TargetMode="External"/><Relationship Id="rId374" Type="http://schemas.openxmlformats.org/officeDocument/2006/relationships/hyperlink" Target="https://kellogg.nd.edu/opportunities/visiting-faculty/about-our-visiting-fellowships" TargetMode="External"/><Relationship Id="rId395" Type="http://schemas.openxmlformats.org/officeDocument/2006/relationships/hyperlink" Target="http://www.cckf.org/en/" TargetMode="External"/><Relationship Id="rId409" Type="http://schemas.openxmlformats.org/officeDocument/2006/relationships/hyperlink" Target="https://www.nsf.gov/funding/pgm_summ.jsp?pims_id=503418" TargetMode="External"/><Relationship Id="rId560" Type="http://schemas.openxmlformats.org/officeDocument/2006/relationships/hyperlink" Target="https://www.nyfa.org/Content/Show/Artists'%20Fellowships" TargetMode="External"/><Relationship Id="rId581" Type="http://schemas.openxmlformats.org/officeDocument/2006/relationships/hyperlink" Target="http://www.hfsp.org/funding/research-grants/information-and-guidelines" TargetMode="External"/><Relationship Id="rId71" Type="http://schemas.openxmlformats.org/officeDocument/2006/relationships/hyperlink" Target="http://mcgovern.mit.edu/" TargetMode="External"/><Relationship Id="rId92" Type="http://schemas.openxmlformats.org/officeDocument/2006/relationships/hyperlink" Target="http://www.wawh.org/" TargetMode="External"/><Relationship Id="rId213" Type="http://schemas.openxmlformats.org/officeDocument/2006/relationships/hyperlink" Target="http://www.bradyeducationfoundation.org/" TargetMode="External"/><Relationship Id="rId234" Type="http://schemas.openxmlformats.org/officeDocument/2006/relationships/hyperlink" Target="http://www.pmi.org/learning/academic-research/sponsored-research-program.aspx" TargetMode="External"/><Relationship Id="rId420" Type="http://schemas.openxmlformats.org/officeDocument/2006/relationships/hyperlink" Target="http://www.nationalacademies.org/" TargetMode="External"/><Relationship Id="rId2" Type="http://schemas.openxmlformats.org/officeDocument/2006/relationships/hyperlink" Target="https://asecs.press.jhu.edu/Weekly%20Announcements/clifford1.html" TargetMode="External"/><Relationship Id="rId29" Type="http://schemas.openxmlformats.org/officeDocument/2006/relationships/hyperlink" Target="https://www.nsf.gov/" TargetMode="External"/><Relationship Id="rId255" Type="http://schemas.openxmlformats.org/officeDocument/2006/relationships/hyperlink" Target="http://artisttrust.org/index.php/for-artists/grants" TargetMode="External"/><Relationship Id="rId276" Type="http://schemas.openxmlformats.org/officeDocument/2006/relationships/hyperlink" Target="https://wcfia.harvard.edu/funding/faculty/huntington_prize" TargetMode="External"/><Relationship Id="rId297" Type="http://schemas.openxmlformats.org/officeDocument/2006/relationships/hyperlink" Target="https://www.asist.org/about/awards/history-fund-awards/" TargetMode="External"/><Relationship Id="rId441" Type="http://schemas.openxmlformats.org/officeDocument/2006/relationships/hyperlink" Target="https://www.cfr.org/fellowships/international-affairs-fellowship" TargetMode="External"/><Relationship Id="rId462" Type="http://schemas.openxmlformats.org/officeDocument/2006/relationships/hyperlink" Target="http://ethicsandeducation.wceruw.org/" TargetMode="External"/><Relationship Id="rId483" Type="http://schemas.openxmlformats.org/officeDocument/2006/relationships/hyperlink" Target="https://www.psychiatry.org/psychiatrists/awards-leadership-opportunities/awards/kempf-fund-award" TargetMode="External"/><Relationship Id="rId518" Type="http://schemas.openxmlformats.org/officeDocument/2006/relationships/hyperlink" Target="https://theihs.org/funding/hayekfund/" TargetMode="External"/><Relationship Id="rId539" Type="http://schemas.openxmlformats.org/officeDocument/2006/relationships/hyperlink" Target="http://www.russellsage.org/how-to-apply/small-grants-behavioral-economics-apply/guidelines" TargetMode="External"/><Relationship Id="rId40" Type="http://schemas.openxmlformats.org/officeDocument/2006/relationships/hyperlink" Target="https://asecs.press.jhu.edu/" TargetMode="External"/><Relationship Id="rId115" Type="http://schemas.openxmlformats.org/officeDocument/2006/relationships/hyperlink" Target="http://www.huri.harvard.edu/fellowships-grants-internships/fellows-ukrstudies.html" TargetMode="External"/><Relationship Id="rId136" Type="http://schemas.openxmlformats.org/officeDocument/2006/relationships/hyperlink" Target="http://www.simonsfoundation.org/funding/funding-opportunities/mathematics-physical-sciences/collaboration-grants-for-mathematicians/" TargetMode="External"/><Relationship Id="rId157" Type="http://schemas.openxmlformats.org/officeDocument/2006/relationships/hyperlink" Target="http://www.nsf.gov/funding/pgm_summ.jsp?pims_id=501084&amp;org=SMA&amp;from=home" TargetMode="External"/><Relationship Id="rId178" Type="http://schemas.openxmlformats.org/officeDocument/2006/relationships/hyperlink" Target="http://iias.asia/" TargetMode="External"/><Relationship Id="rId301" Type="http://schemas.openxmlformats.org/officeDocument/2006/relationships/hyperlink" Target="https://demingfund.org/funding-pd-8.php" TargetMode="External"/><Relationship Id="rId322" Type="http://schemas.openxmlformats.org/officeDocument/2006/relationships/hyperlink" Target="http://marconisociety.org/" TargetMode="External"/><Relationship Id="rId343" Type="http://schemas.openxmlformats.org/officeDocument/2006/relationships/hyperlink" Target="https://www.nsf.gov/funding/pgm_summ.jsp?pims_id=503418" TargetMode="External"/><Relationship Id="rId364" Type="http://schemas.openxmlformats.org/officeDocument/2006/relationships/hyperlink" Target="https://www.instrumentl.com/grants/google-research-awards-faculty-research-awards" TargetMode="External"/><Relationship Id="rId550" Type="http://schemas.openxmlformats.org/officeDocument/2006/relationships/hyperlink" Target="https://rework.hu-berlin.de/en/fellowships.html" TargetMode="External"/><Relationship Id="rId61" Type="http://schemas.openxmlformats.org/officeDocument/2006/relationships/hyperlink" Target="https://www.mcknight.org/" TargetMode="External"/><Relationship Id="rId82" Type="http://schemas.openxmlformats.org/officeDocument/2006/relationships/hyperlink" Target="http://www.apa.org/apf/funding/pearson.aspx" TargetMode="External"/><Relationship Id="rId199" Type="http://schemas.openxmlformats.org/officeDocument/2006/relationships/hyperlink" Target="http://www.quaibranly.fr/en/scientific-research/activities/scholarships-and-thesis-prizes/research-fellowships/" TargetMode="External"/><Relationship Id="rId203" Type="http://schemas.openxmlformats.org/officeDocument/2006/relationships/hyperlink" Target="https://grandchallenges.org/grant-opportunities" TargetMode="External"/><Relationship Id="rId385" Type="http://schemas.openxmlformats.org/officeDocument/2006/relationships/hyperlink" Target="https://www.nsf.gov/funding/pgm_summ.jsp?pims_id=503420" TargetMode="External"/><Relationship Id="rId571" Type="http://schemas.openxmlformats.org/officeDocument/2006/relationships/hyperlink" Target="https://journalism.columbia.edu/" TargetMode="External"/><Relationship Id="rId19" Type="http://schemas.openxmlformats.org/officeDocument/2006/relationships/hyperlink" Target="https://chs.harvard.edu/" TargetMode="External"/><Relationship Id="rId224" Type="http://schemas.openxmlformats.org/officeDocument/2006/relationships/hyperlink" Target="http://www.neh.gov/grants/research/fellowships" TargetMode="External"/><Relationship Id="rId245" Type="http://schemas.openxmlformats.org/officeDocument/2006/relationships/hyperlink" Target="http://www.wennergren.org/programs/hunt-postdoctoral-fellowships" TargetMode="External"/><Relationship Id="rId266" Type="http://schemas.openxmlformats.org/officeDocument/2006/relationships/hyperlink" Target="https://www.neh.gov/grants/preservation/common-heritage" TargetMode="External"/><Relationship Id="rId287" Type="http://schemas.openxmlformats.org/officeDocument/2006/relationships/hyperlink" Target="https://www.sfn.org/" TargetMode="External"/><Relationship Id="rId410" Type="http://schemas.openxmlformats.org/officeDocument/2006/relationships/hyperlink" Target="https://www.nsf.gov/funding/pgm_summ.jsp?pims_id=13365" TargetMode="External"/><Relationship Id="rId431" Type="http://schemas.openxmlformats.org/officeDocument/2006/relationships/hyperlink" Target="https://www.nsf.gov/funding/pgm_summ.jsp?pims_id=503416" TargetMode="External"/><Relationship Id="rId452" Type="http://schemas.openxmlformats.org/officeDocument/2006/relationships/hyperlink" Target="https://science.nrao.edu/opportunities/postdoctoral-programs/jansky" TargetMode="External"/><Relationship Id="rId473" Type="http://schemas.openxmlformats.org/officeDocument/2006/relationships/hyperlink" Target="https://www.aauw.org/what-we-do/educational-funding-and-awards/american-fellowships/af-postdoctoral-research-application/" TargetMode="External"/><Relationship Id="rId494" Type="http://schemas.openxmlformats.org/officeDocument/2006/relationships/hyperlink" Target="http://www.winterthur.org/" TargetMode="External"/><Relationship Id="rId508" Type="http://schemas.openxmlformats.org/officeDocument/2006/relationships/hyperlink" Target="http://maxkadefoundation.org/" TargetMode="External"/><Relationship Id="rId529" Type="http://schemas.openxmlformats.org/officeDocument/2006/relationships/hyperlink" Target="http://www.chemheritage.org/research/fellowships-and-travel-grants/beckman-center-fellowships/travel-grants.aspx" TargetMode="External"/><Relationship Id="rId30" Type="http://schemas.openxmlformats.org/officeDocument/2006/relationships/hyperlink" Target="http://sarweb.org/index.php" TargetMode="External"/><Relationship Id="rId105" Type="http://schemas.openxmlformats.org/officeDocument/2006/relationships/hyperlink" Target="http://www.kressfoundation.org/" TargetMode="External"/><Relationship Id="rId126" Type="http://schemas.openxmlformats.org/officeDocument/2006/relationships/hyperlink" Target="http://americanvoices.org/americanmusicabroad" TargetMode="External"/><Relationship Id="rId147" Type="http://schemas.openxmlformats.org/officeDocument/2006/relationships/hyperlink" Target="http://www.spencer.org/" TargetMode="External"/><Relationship Id="rId168" Type="http://schemas.openxmlformats.org/officeDocument/2006/relationships/hyperlink" Target="http://grants1.nih.gov/grants/funding/submissionschedule.htm" TargetMode="External"/><Relationship Id="rId312" Type="http://schemas.openxmlformats.org/officeDocument/2006/relationships/hyperlink" Target="https://www.nsf.gov/" TargetMode="External"/><Relationship Id="rId333" Type="http://schemas.openxmlformats.org/officeDocument/2006/relationships/hyperlink" Target="http://www.nsf.gov/funding/pgm_summ.jsp?pims_id=5418" TargetMode="External"/><Relationship Id="rId354" Type="http://schemas.openxmlformats.org/officeDocument/2006/relationships/hyperlink" Target="https://www.nsf.gov/" TargetMode="External"/><Relationship Id="rId540" Type="http://schemas.openxmlformats.org/officeDocument/2006/relationships/hyperlink" Target="https://www.baylor.edu/library/poage/index.php?id=942938" TargetMode="External"/><Relationship Id="rId51" Type="http://schemas.openxmlformats.org/officeDocument/2006/relationships/hyperlink" Target="https://www.nypl.org/help/about-nypl/fellowships-institutes/schomburg-center-scholars-in-residency" TargetMode="External"/><Relationship Id="rId72" Type="http://schemas.openxmlformats.org/officeDocument/2006/relationships/hyperlink" Target="http://mcgovern.mit.edu/events/scolnick-prize/call-for-nominations" TargetMode="External"/><Relationship Id="rId93" Type="http://schemas.openxmlformats.org/officeDocument/2006/relationships/hyperlink" Target="http://www.wawh.org/awards/" TargetMode="External"/><Relationship Id="rId189" Type="http://schemas.openxmlformats.org/officeDocument/2006/relationships/hyperlink" Target="https://www.neh.gov/grants/odh/institutes-advanced-topics-in-the-digital-humanities" TargetMode="External"/><Relationship Id="rId375" Type="http://schemas.openxmlformats.org/officeDocument/2006/relationships/hyperlink" Target="http://researchfellowships.americancouncils.org/" TargetMode="External"/><Relationship Id="rId396" Type="http://schemas.openxmlformats.org/officeDocument/2006/relationships/hyperlink" Target="http://www.cckf.org/en/programs" TargetMode="External"/><Relationship Id="rId561" Type="http://schemas.openxmlformats.org/officeDocument/2006/relationships/hyperlink" Target="https://www.nyfa.org/Content/Show/Artists'%20Fellowships" TargetMode="External"/><Relationship Id="rId582" Type="http://schemas.openxmlformats.org/officeDocument/2006/relationships/hyperlink" Target="http://www.hfsp.org/" TargetMode="External"/><Relationship Id="rId3" Type="http://schemas.openxmlformats.org/officeDocument/2006/relationships/hyperlink" Target="http://www.russellsage.org/research/funding/social-inequality" TargetMode="External"/><Relationship Id="rId214" Type="http://schemas.openxmlformats.org/officeDocument/2006/relationships/hyperlink" Target="http://www.bradyeducationfoundation.org/applicationguidelines.html" TargetMode="External"/><Relationship Id="rId235" Type="http://schemas.openxmlformats.org/officeDocument/2006/relationships/hyperlink" Target="http://www.neh.gov/grants/research/fellowships-advanced-social-science-research-japan" TargetMode="External"/><Relationship Id="rId256" Type="http://schemas.openxmlformats.org/officeDocument/2006/relationships/hyperlink" Target="https://www.russellsage.org/" TargetMode="External"/><Relationship Id="rId277" Type="http://schemas.openxmlformats.org/officeDocument/2006/relationships/hyperlink" Target="https://www.russellsage.org/" TargetMode="External"/><Relationship Id="rId298" Type="http://schemas.openxmlformats.org/officeDocument/2006/relationships/hyperlink" Target="https://www.russellsage.org/" TargetMode="External"/><Relationship Id="rId400" Type="http://schemas.openxmlformats.org/officeDocument/2006/relationships/hyperlink" Target="https://ndias.nd.edu/fellowships/" TargetMode="External"/><Relationship Id="rId421" Type="http://schemas.openxmlformats.org/officeDocument/2006/relationships/hyperlink" Target="http://sites.nationalacademies.org/pga/jefferson/?_ga=2.157111035.1954131380.1509474902-2139803928.1509474902" TargetMode="External"/><Relationship Id="rId442" Type="http://schemas.openxmlformats.org/officeDocument/2006/relationships/hyperlink" Target="https://www.hs.ias.edu/" TargetMode="External"/><Relationship Id="rId463" Type="http://schemas.openxmlformats.org/officeDocument/2006/relationships/hyperlink" Target="http://ethicsandeducation.wceruw.org/research-grants.html" TargetMode="External"/><Relationship Id="rId484" Type="http://schemas.openxmlformats.org/officeDocument/2006/relationships/hyperlink" Target="http://www.ensembletheaters.net/" TargetMode="External"/><Relationship Id="rId519" Type="http://schemas.openxmlformats.org/officeDocument/2006/relationships/hyperlink" Target="http://www.nationalgeographic.com/" TargetMode="External"/><Relationship Id="rId116" Type="http://schemas.openxmlformats.org/officeDocument/2006/relationships/hyperlink" Target="https://www.aps.org/" TargetMode="External"/><Relationship Id="rId137" Type="http://schemas.openxmlformats.org/officeDocument/2006/relationships/hyperlink" Target="https://www.amphilsoc.org/" TargetMode="External"/><Relationship Id="rId158" Type="http://schemas.openxmlformats.org/officeDocument/2006/relationships/hyperlink" Target="http://www.nsf.gov/funding/pgm_summ.jsp?pims_id=5316&amp;WT.mc_id=USNSF_39&amp;WT.mc_ev=click" TargetMode="External"/><Relationship Id="rId302" Type="http://schemas.openxmlformats.org/officeDocument/2006/relationships/hyperlink" Target="https://www.hagley.org/" TargetMode="External"/><Relationship Id="rId323" Type="http://schemas.openxmlformats.org/officeDocument/2006/relationships/hyperlink" Target="https://us.fulbrightonline.org/" TargetMode="External"/><Relationship Id="rId344" Type="http://schemas.openxmlformats.org/officeDocument/2006/relationships/hyperlink" Target="https://www.nsf.gov/pubs/2016/nsf16577/nsf16577.htm" TargetMode="External"/><Relationship Id="rId530" Type="http://schemas.openxmlformats.org/officeDocument/2006/relationships/hyperlink" Target="https://caves.org/" TargetMode="External"/><Relationship Id="rId20" Type="http://schemas.openxmlformats.org/officeDocument/2006/relationships/hyperlink" Target="https://chs.harvard.edu/CHS/article/display/5400?menuId=22" TargetMode="External"/><Relationship Id="rId41" Type="http://schemas.openxmlformats.org/officeDocument/2006/relationships/hyperlink" Target="https://asecs.press.jhu.edu/Weekly%20Announcements/gottschalk1.html" TargetMode="External"/><Relationship Id="rId62" Type="http://schemas.openxmlformats.org/officeDocument/2006/relationships/hyperlink" Target="https://www.neuroscience.mcknight.org/the-awards/technology" TargetMode="External"/><Relationship Id="rId83" Type="http://schemas.openxmlformats.org/officeDocument/2006/relationships/hyperlink" Target="https://www.rutgers.edu/" TargetMode="External"/><Relationship Id="rId179" Type="http://schemas.openxmlformats.org/officeDocument/2006/relationships/hyperlink" Target="https://www.wilsoncenter.org/kennan-institute-fellowships-and-internships" TargetMode="External"/><Relationship Id="rId365" Type="http://schemas.openxmlformats.org/officeDocument/2006/relationships/hyperlink" Target="https://www.nsf.gov/funding/pgm_summ.jsp?pims_id=503418" TargetMode="External"/><Relationship Id="rId386" Type="http://schemas.openxmlformats.org/officeDocument/2006/relationships/hyperlink" Target="https://www.nsf.gov/funding/pgm_summ.jsp?pims_id=503418" TargetMode="External"/><Relationship Id="rId551" Type="http://schemas.openxmlformats.org/officeDocument/2006/relationships/hyperlink" Target="http://shc.stanford.edu/" TargetMode="External"/><Relationship Id="rId572" Type="http://schemas.openxmlformats.org/officeDocument/2006/relationships/hyperlink" Target="https://journalism.columbia.edu/lukas" TargetMode="External"/><Relationship Id="rId190" Type="http://schemas.openxmlformats.org/officeDocument/2006/relationships/hyperlink" Target="http://sontagfoundation.org/display.aspx?page=home" TargetMode="External"/><Relationship Id="rId204" Type="http://schemas.openxmlformats.org/officeDocument/2006/relationships/hyperlink" Target="https://www.templeton.org/" TargetMode="External"/><Relationship Id="rId225" Type="http://schemas.openxmlformats.org/officeDocument/2006/relationships/hyperlink" Target="http://www.neh.gov/grants/research/neh-mellon-fellowships-digital-publication" TargetMode="External"/><Relationship Id="rId246" Type="http://schemas.openxmlformats.org/officeDocument/2006/relationships/hyperlink" Target="http://wtgrantfoundation.org/grants/research-grants" TargetMode="External"/><Relationship Id="rId267" Type="http://schemas.openxmlformats.org/officeDocument/2006/relationships/hyperlink" Target="https://www.niu.edu/index.shtml" TargetMode="External"/><Relationship Id="rId288" Type="http://schemas.openxmlformats.org/officeDocument/2006/relationships/hyperlink" Target="https://www.sfn.org/Awards-and-Funding/Individual-Prizes-and-Fellowships/Outstanding-Research-and-Career-Awards/Mika-Salpeter-Lifetime-Achievement-Award" TargetMode="External"/><Relationship Id="rId411" Type="http://schemas.openxmlformats.org/officeDocument/2006/relationships/hyperlink" Target="http://fitchfoundation.org/" TargetMode="External"/><Relationship Id="rId432" Type="http://schemas.openxmlformats.org/officeDocument/2006/relationships/hyperlink" Target="https://www.nsf.gov/funding/pgm_summ.jsp?pims_id=503418" TargetMode="External"/><Relationship Id="rId453" Type="http://schemas.openxmlformats.org/officeDocument/2006/relationships/hyperlink" Target="http://www.dreyfus.org/" TargetMode="External"/><Relationship Id="rId474" Type="http://schemas.openxmlformats.org/officeDocument/2006/relationships/hyperlink" Target="https://www.aauw.org/" TargetMode="External"/><Relationship Id="rId509" Type="http://schemas.openxmlformats.org/officeDocument/2006/relationships/hyperlink" Target="http://maxkadefoundation.org/grants.html" TargetMode="External"/><Relationship Id="rId106" Type="http://schemas.openxmlformats.org/officeDocument/2006/relationships/hyperlink" Target="http://www.kressfoundation.org/grants/default.aspx?id=142" TargetMode="External"/><Relationship Id="rId127" Type="http://schemas.openxmlformats.org/officeDocument/2006/relationships/hyperlink" Target="http://www.vahistorical.org/collections-and-resources/how-we-can-help-your-research/researcher-resources/research-fellowship-and?legacy=true" TargetMode="External"/><Relationship Id="rId313" Type="http://schemas.openxmlformats.org/officeDocument/2006/relationships/hyperlink" Target="https://www.nsf.gov/funding/pgm_summ.jsp?pims_id=5567" TargetMode="External"/><Relationship Id="rId495" Type="http://schemas.openxmlformats.org/officeDocument/2006/relationships/hyperlink" Target="https://www.icahdq.org/" TargetMode="External"/><Relationship Id="rId10" Type="http://schemas.openxmlformats.org/officeDocument/2006/relationships/hyperlink" Target="https://www.simonsfoundation.org/" TargetMode="External"/><Relationship Id="rId31" Type="http://schemas.openxmlformats.org/officeDocument/2006/relationships/hyperlink" Target="https://sarweb.org/?resident_scholars" TargetMode="External"/><Relationship Id="rId52" Type="http://schemas.openxmlformats.org/officeDocument/2006/relationships/hyperlink" Target="http://www.asianculturalcouncil.org/" TargetMode="External"/><Relationship Id="rId73" Type="http://schemas.openxmlformats.org/officeDocument/2006/relationships/hyperlink" Target="http://www.asanet.org/" TargetMode="External"/><Relationship Id="rId94" Type="http://schemas.openxmlformats.org/officeDocument/2006/relationships/hyperlink" Target="http://grants.nih.gov/grants/guide/pa-files/PAR-15-275.html" TargetMode="External"/><Relationship Id="rId148" Type="http://schemas.openxmlformats.org/officeDocument/2006/relationships/hyperlink" Target="http://www.spencer.org/small-research-grants" TargetMode="External"/><Relationship Id="rId169" Type="http://schemas.openxmlformats.org/officeDocument/2006/relationships/hyperlink" Target="http://grants1.nih.gov/grants/funding/submissionschedule.htm" TargetMode="External"/><Relationship Id="rId334" Type="http://schemas.openxmlformats.org/officeDocument/2006/relationships/hyperlink" Target="http://www.nsf.gov/funding/pgm_summ.jsp?pims_id=5369&amp;org=SES" TargetMode="External"/><Relationship Id="rId355" Type="http://schemas.openxmlformats.org/officeDocument/2006/relationships/hyperlink" Target="https://www.nsf.gov/funding/pgm_summ.jsp?pims_id=5501" TargetMode="External"/><Relationship Id="rId376" Type="http://schemas.openxmlformats.org/officeDocument/2006/relationships/hyperlink" Target="https://www.nsf.gov/funding/pgm_summ.jsp?pims_id=503418" TargetMode="External"/><Relationship Id="rId397" Type="http://schemas.openxmlformats.org/officeDocument/2006/relationships/hyperlink" Target="http://rockarch.org/" TargetMode="External"/><Relationship Id="rId520" Type="http://schemas.openxmlformats.org/officeDocument/2006/relationships/hyperlink" Target="http://www.nationalgeographic.com/explorers/grants-programs/waitt-grants-application/" TargetMode="External"/><Relationship Id="rId541" Type="http://schemas.openxmlformats.org/officeDocument/2006/relationships/hyperlink" Target="https://www.baylor.edu/library/poage/index.php?id=925991" TargetMode="External"/><Relationship Id="rId562" Type="http://schemas.openxmlformats.org/officeDocument/2006/relationships/hyperlink" Target="http://sites.duke.edu/broadfoundation/extramural-award-application/" TargetMode="External"/><Relationship Id="rId583" Type="http://schemas.openxmlformats.org/officeDocument/2006/relationships/hyperlink" Target="http://www.hfsp.org/funding" TargetMode="External"/><Relationship Id="rId4" Type="http://schemas.openxmlformats.org/officeDocument/2006/relationships/hyperlink" Target="http://www.russellsage.org/research/funding/social-inequality" TargetMode="External"/><Relationship Id="rId180" Type="http://schemas.openxmlformats.org/officeDocument/2006/relationships/hyperlink" Target="http://grants.nih.gov/grants/funding/r13/" TargetMode="External"/><Relationship Id="rId215" Type="http://schemas.openxmlformats.org/officeDocument/2006/relationships/hyperlink" Target="http://www.fahsbeckfund.org/pdf_files/CURRENT_Post_Doctoral_Guidelines_01.12.15.pdf" TargetMode="External"/><Relationship Id="rId236" Type="http://schemas.openxmlformats.org/officeDocument/2006/relationships/hyperlink" Target="http://www.apap365.org/" TargetMode="External"/><Relationship Id="rId257" Type="http://schemas.openxmlformats.org/officeDocument/2006/relationships/hyperlink" Target="https://www.russellsage.org/research/behavioral-economics" TargetMode="External"/><Relationship Id="rId278" Type="http://schemas.openxmlformats.org/officeDocument/2006/relationships/hyperlink" Target="https://www.lib.umn.edu/ihrca" TargetMode="External"/><Relationship Id="rId401" Type="http://schemas.openxmlformats.org/officeDocument/2006/relationships/hyperlink" Target="https://www.nih.gov/" TargetMode="External"/><Relationship Id="rId422" Type="http://schemas.openxmlformats.org/officeDocument/2006/relationships/hyperlink" Target="http://thehoneybeeconservancy.org/sponsor-a-hive/" TargetMode="External"/><Relationship Id="rId443" Type="http://schemas.openxmlformats.org/officeDocument/2006/relationships/hyperlink" Target="https://www.hs.ias.edu/mem_announcement" TargetMode="External"/><Relationship Id="rId464" Type="http://schemas.openxmlformats.org/officeDocument/2006/relationships/hyperlink" Target="http://psscra.org/prize/" TargetMode="External"/><Relationship Id="rId303" Type="http://schemas.openxmlformats.org/officeDocument/2006/relationships/hyperlink" Target="https://www.hagley.org/research/grants-fellowships" TargetMode="External"/><Relationship Id="rId485" Type="http://schemas.openxmlformats.org/officeDocument/2006/relationships/hyperlink" Target="http://www.ensembletheaters.net/content/netten-exchange-grants" TargetMode="External"/><Relationship Id="rId42" Type="http://schemas.openxmlformats.org/officeDocument/2006/relationships/hyperlink" Target="https://www.nsf.gov/" TargetMode="External"/><Relationship Id="rId84" Type="http://schemas.openxmlformats.org/officeDocument/2006/relationships/hyperlink" Target="https://smlr.rutgers.edu/content/louis-o-kelso-fellowship" TargetMode="External"/><Relationship Id="rId138" Type="http://schemas.openxmlformats.org/officeDocument/2006/relationships/hyperlink" Target="http://ethics.utoronto.ca/" TargetMode="External"/><Relationship Id="rId345" Type="http://schemas.openxmlformats.org/officeDocument/2006/relationships/hyperlink" Target="https://www.radcliffe.harvard.edu/" TargetMode="External"/><Relationship Id="rId387" Type="http://schemas.openxmlformats.org/officeDocument/2006/relationships/hyperlink" Target="https://www.nsf.gov/div/index.jsp?div=DMS" TargetMode="External"/><Relationship Id="rId510" Type="http://schemas.openxmlformats.org/officeDocument/2006/relationships/hyperlink" Target="http://www.nyhumanities.org/" TargetMode="External"/><Relationship Id="rId552" Type="http://schemas.openxmlformats.org/officeDocument/2006/relationships/hyperlink" Target="http://shc.stanford.edu/fellowships/non-stanford-faculty" TargetMode="External"/><Relationship Id="rId191" Type="http://schemas.openxmlformats.org/officeDocument/2006/relationships/hyperlink" Target="http://wp.stolaf.edu/kierkegaard/summer-fellows/" TargetMode="External"/><Relationship Id="rId205" Type="http://schemas.openxmlformats.org/officeDocument/2006/relationships/hyperlink" Target="https://www.templeton.org/internal-competiton-fund/academic-cross-training-fellowship" TargetMode="External"/><Relationship Id="rId247" Type="http://schemas.openxmlformats.org/officeDocument/2006/relationships/hyperlink" Target="https://www.historians.org/awards-and-grants/awards-and-prizes/joan-kelly-memorial-prize" TargetMode="External"/><Relationship Id="rId412" Type="http://schemas.openxmlformats.org/officeDocument/2006/relationships/hyperlink" Target="http://fitchfoundation.org/grants/blinder/" TargetMode="External"/><Relationship Id="rId107" Type="http://schemas.openxmlformats.org/officeDocument/2006/relationships/hyperlink" Target="http://www.kressfoundation.org/" TargetMode="External"/><Relationship Id="rId289" Type="http://schemas.openxmlformats.org/officeDocument/2006/relationships/hyperlink" Target="https://www.gerda-henkel-stiftung.de/?page_id=74867" TargetMode="External"/><Relationship Id="rId454" Type="http://schemas.openxmlformats.org/officeDocument/2006/relationships/hyperlink" Target="http://dreyfus.org/awards/acs_award_for_women.shtml" TargetMode="External"/><Relationship Id="rId496" Type="http://schemas.openxmlformats.org/officeDocument/2006/relationships/hyperlink" Target="https://www.icahdq.org/mpage/CareyGrant" TargetMode="External"/><Relationship Id="rId11" Type="http://schemas.openxmlformats.org/officeDocument/2006/relationships/hyperlink" Target="http://societyhumanities.as.cornell.edu/" TargetMode="External"/><Relationship Id="rId53" Type="http://schemas.openxmlformats.org/officeDocument/2006/relationships/hyperlink" Target="http://www.asianculturalcouncil.org/our-programs" TargetMode="External"/><Relationship Id="rId149" Type="http://schemas.openxmlformats.org/officeDocument/2006/relationships/hyperlink" Target="http://www.acha.org/" TargetMode="External"/><Relationship Id="rId314" Type="http://schemas.openxmlformats.org/officeDocument/2006/relationships/hyperlink" Target="https://leakeyfoundation.org/grants/research-grants/" TargetMode="External"/><Relationship Id="rId356" Type="http://schemas.openxmlformats.org/officeDocument/2006/relationships/hyperlink" Target="https://www.gf.org/" TargetMode="External"/><Relationship Id="rId398" Type="http://schemas.openxmlformats.org/officeDocument/2006/relationships/hyperlink" Target="http://rockarch.org/grants/generalgia.php" TargetMode="External"/><Relationship Id="rId521" Type="http://schemas.openxmlformats.org/officeDocument/2006/relationships/hyperlink" Target="http://www.theinvestigativefund.org/" TargetMode="External"/><Relationship Id="rId563" Type="http://schemas.openxmlformats.org/officeDocument/2006/relationships/hyperlink" Target="http://sites.duke.edu/broadfoundation/extramural-award-application/" TargetMode="External"/><Relationship Id="rId95" Type="http://schemas.openxmlformats.org/officeDocument/2006/relationships/hyperlink" Target="https://www.mcknight.org/" TargetMode="External"/><Relationship Id="rId160" Type="http://schemas.openxmlformats.org/officeDocument/2006/relationships/hyperlink" Target="https://www.wabashcenter.wabash.edu/" TargetMode="External"/><Relationship Id="rId216" Type="http://schemas.openxmlformats.org/officeDocument/2006/relationships/hyperlink" Target="http://www.thelawrencefoundation.org/grants/" TargetMode="External"/><Relationship Id="rId423" Type="http://schemas.openxmlformats.org/officeDocument/2006/relationships/hyperlink" Target="http://thehoneybeeconservancy.org/beekeeping-grants/" TargetMode="External"/><Relationship Id="rId258" Type="http://schemas.openxmlformats.org/officeDocument/2006/relationships/hyperlink" Target="https://www.russellsage.org/" TargetMode="External"/><Relationship Id="rId465" Type="http://schemas.openxmlformats.org/officeDocument/2006/relationships/hyperlink" Target="http://psscra.org/application/" TargetMode="External"/><Relationship Id="rId22" Type="http://schemas.openxmlformats.org/officeDocument/2006/relationships/hyperlink" Target="http://fitchfoundation.org/" TargetMode="External"/><Relationship Id="rId64" Type="http://schemas.openxmlformats.org/officeDocument/2006/relationships/hyperlink" Target="https://www.nsf.gov/pubs/2015/nsf15588/nsf15588.htm" TargetMode="External"/><Relationship Id="rId118" Type="http://schemas.openxmlformats.org/officeDocument/2006/relationships/hyperlink" Target="https://www.ias.edu/" TargetMode="External"/><Relationship Id="rId325" Type="http://schemas.openxmlformats.org/officeDocument/2006/relationships/hyperlink" Target="https://eca.state.gov/about-bureau" TargetMode="External"/><Relationship Id="rId367" Type="http://schemas.openxmlformats.org/officeDocument/2006/relationships/hyperlink" Target="http://www.sah.org/" TargetMode="External"/><Relationship Id="rId532" Type="http://schemas.openxmlformats.org/officeDocument/2006/relationships/hyperlink" Target="https://www.acs.org/content/acs/en.html" TargetMode="External"/><Relationship Id="rId574" Type="http://schemas.openxmlformats.org/officeDocument/2006/relationships/hyperlink" Target="http://us-jf.org/latest-news/2487/" TargetMode="External"/><Relationship Id="rId171" Type="http://schemas.openxmlformats.org/officeDocument/2006/relationships/hyperlink" Target="http://grants.nih.gov/grants/funding/area.htm" TargetMode="External"/><Relationship Id="rId227" Type="http://schemas.openxmlformats.org/officeDocument/2006/relationships/hyperlink" Target="https://theccwh.org/" TargetMode="External"/><Relationship Id="rId269" Type="http://schemas.openxmlformats.org/officeDocument/2006/relationships/hyperlink" Target="http://www.vilcek.org/" TargetMode="External"/><Relationship Id="rId434" Type="http://schemas.openxmlformats.org/officeDocument/2006/relationships/hyperlink" Target="https://www.nsf.gov/funding/pgm_summ.jsp?pims_id=503418" TargetMode="External"/><Relationship Id="rId476" Type="http://schemas.openxmlformats.org/officeDocument/2006/relationships/hyperlink" Target="https://www.nsf.gov/funding/pgm_summ.jsp?pims_id=503418" TargetMode="External"/><Relationship Id="rId33" Type="http://schemas.openxmlformats.org/officeDocument/2006/relationships/hyperlink" Target="https://www.nsf.gov/" TargetMode="External"/><Relationship Id="rId129" Type="http://schemas.openxmlformats.org/officeDocument/2006/relationships/hyperlink" Target="http://www.nsf.gov/funding/pgm_summ.jsp?pims_id=504696&amp;WT.mc_id=USNSF_39&amp;WT.mc_ev=click" TargetMode="External"/><Relationship Id="rId280" Type="http://schemas.openxmlformats.org/officeDocument/2006/relationships/hyperlink" Target="https://clags.org/" TargetMode="External"/><Relationship Id="rId336" Type="http://schemas.openxmlformats.org/officeDocument/2006/relationships/hyperlink" Target="http://www.sifoundation.org/how-to-apply-on-line/" TargetMode="External"/><Relationship Id="rId501" Type="http://schemas.openxmlformats.org/officeDocument/2006/relationships/hyperlink" Target="https://oral.history.ufl.edu/research/visiting-scholars/" TargetMode="External"/><Relationship Id="rId543" Type="http://schemas.openxmlformats.org/officeDocument/2006/relationships/hyperlink" Target="http://www.jfny.org/japanese_studies/smallgrant.html" TargetMode="External"/><Relationship Id="rId75" Type="http://schemas.openxmlformats.org/officeDocument/2006/relationships/hyperlink" Target="https://www.nsf.gov/funding/pgm_summ.jsp?pims_id=503418" TargetMode="External"/><Relationship Id="rId140" Type="http://schemas.openxmlformats.org/officeDocument/2006/relationships/hyperlink" Target="http://classics.uc.edu/index.php/tytus/64-tytusinfo" TargetMode="External"/><Relationship Id="rId182" Type="http://schemas.openxmlformats.org/officeDocument/2006/relationships/hyperlink" Target="http://www.apa.org/apf/funding/rosen.aspx?tab=1" TargetMode="External"/><Relationship Id="rId378" Type="http://schemas.openxmlformats.org/officeDocument/2006/relationships/hyperlink" Target="https://www.nsf.gov/funding/pgm_summ.jsp?pims_id=503418" TargetMode="External"/><Relationship Id="rId403" Type="http://schemas.openxmlformats.org/officeDocument/2006/relationships/hyperlink" Target="https://www.nih.gov/" TargetMode="External"/><Relationship Id="rId585" Type="http://schemas.openxmlformats.org/officeDocument/2006/relationships/hyperlink" Target="http://www.ashfoundation.org/grants/New-Investigators-Research-Grant/" TargetMode="External"/><Relationship Id="rId6" Type="http://schemas.openxmlformats.org/officeDocument/2006/relationships/hyperlink" Target="https://www.kinshipfellows.org/program/apply" TargetMode="External"/><Relationship Id="rId238" Type="http://schemas.openxmlformats.org/officeDocument/2006/relationships/hyperlink" Target="https://breakthroughprize.org/" TargetMode="External"/><Relationship Id="rId445" Type="http://schemas.openxmlformats.org/officeDocument/2006/relationships/hyperlink" Target="http://www.aarome.org/apply" TargetMode="External"/><Relationship Id="rId487" Type="http://schemas.openxmlformats.org/officeDocument/2006/relationships/hyperlink" Target="https://www.gottliebfoundation.org/" TargetMode="External"/><Relationship Id="rId291" Type="http://schemas.openxmlformats.org/officeDocument/2006/relationships/hyperlink" Target="https://www.jove.com/film-your-research-2017/" TargetMode="External"/><Relationship Id="rId305" Type="http://schemas.openxmlformats.org/officeDocument/2006/relationships/hyperlink" Target="https://www.nationalgeographic.org/grants" TargetMode="External"/><Relationship Id="rId347" Type="http://schemas.openxmlformats.org/officeDocument/2006/relationships/hyperlink" Target="https://www.nsf.gov/funding/pgm_summ.jsp?pims_id=12816" TargetMode="External"/><Relationship Id="rId512" Type="http://schemas.openxmlformats.org/officeDocument/2006/relationships/hyperlink" Target="http://aabbfoundation.org/" TargetMode="External"/><Relationship Id="rId44" Type="http://schemas.openxmlformats.org/officeDocument/2006/relationships/hyperlink" Target="https://classicalstudies.org/" TargetMode="External"/><Relationship Id="rId86" Type="http://schemas.openxmlformats.org/officeDocument/2006/relationships/hyperlink" Target="http://www.mpiwg-berlin.mpg.de/en/news/jobs/Unsolicited-Applications" TargetMode="External"/><Relationship Id="rId151" Type="http://schemas.openxmlformats.org/officeDocument/2006/relationships/hyperlink" Target="http://www.nsf.gov/funding/pgm_summ.jsp?pims_id=5324" TargetMode="External"/><Relationship Id="rId389" Type="http://schemas.openxmlformats.org/officeDocument/2006/relationships/hyperlink" Target="https://www.nsf.gov/" TargetMode="External"/><Relationship Id="rId554" Type="http://schemas.openxmlformats.org/officeDocument/2006/relationships/hyperlink" Target="http://www.american-music.org/" TargetMode="External"/><Relationship Id="rId193" Type="http://schemas.openxmlformats.org/officeDocument/2006/relationships/hyperlink" Target="https://geraldrfordfoundation.org/" TargetMode="External"/><Relationship Id="rId207" Type="http://schemas.openxmlformats.org/officeDocument/2006/relationships/hyperlink" Target="https://www.accessgroup.org/research/legal-education-diversity-pipeline-grant-program" TargetMode="External"/><Relationship Id="rId249" Type="http://schemas.openxmlformats.org/officeDocument/2006/relationships/hyperlink" Target="https://theccwh.org/" TargetMode="External"/><Relationship Id="rId414" Type="http://schemas.openxmlformats.org/officeDocument/2006/relationships/hyperlink" Target="https://www.nsf.gov/" TargetMode="External"/><Relationship Id="rId456" Type="http://schemas.openxmlformats.org/officeDocument/2006/relationships/hyperlink" Target="http://www.apadivisions.org/division-32/awards/carmi-harari.aspx" TargetMode="External"/><Relationship Id="rId498" Type="http://schemas.openxmlformats.org/officeDocument/2006/relationships/hyperlink" Target="https://www.whiting.org/awards/creative-nonfiction-grant" TargetMode="External"/><Relationship Id="rId13" Type="http://schemas.openxmlformats.org/officeDocument/2006/relationships/hyperlink" Target="https://www.amphilsoc.org/" TargetMode="External"/><Relationship Id="rId109" Type="http://schemas.openxmlformats.org/officeDocument/2006/relationships/hyperlink" Target="https://asecs.press.jhu.edu/Weekly%20Announcements/womenediting.html" TargetMode="External"/><Relationship Id="rId260" Type="http://schemas.openxmlformats.org/officeDocument/2006/relationships/hyperlink" Target="https://www.okeeffemuseum.org/research-center/" TargetMode="External"/><Relationship Id="rId316" Type="http://schemas.openxmlformats.org/officeDocument/2006/relationships/hyperlink" Target="https://www.nsf.gov/funding/pgm_summ.jsp?pims_id=8671" TargetMode="External"/><Relationship Id="rId523" Type="http://schemas.openxmlformats.org/officeDocument/2006/relationships/hyperlink" Target="http://pulitzercenter.org/" TargetMode="External"/><Relationship Id="rId55" Type="http://schemas.openxmlformats.org/officeDocument/2006/relationships/hyperlink" Target="http://www.austenriggs.org/" TargetMode="External"/><Relationship Id="rId97" Type="http://schemas.openxmlformats.org/officeDocument/2006/relationships/hyperlink" Target="https://www.arts.gov/" TargetMode="External"/><Relationship Id="rId120" Type="http://schemas.openxmlformats.org/officeDocument/2006/relationships/hyperlink" Target="http://www.kauffman.org/microsites/kjff" TargetMode="External"/><Relationship Id="rId358" Type="http://schemas.openxmlformats.org/officeDocument/2006/relationships/hyperlink" Target="https://www.nypl.org/help/about-nypl/fellowships-institutes/center-for-scholars-and-writers" TargetMode="External"/><Relationship Id="rId565" Type="http://schemas.openxmlformats.org/officeDocument/2006/relationships/hyperlink" Target="http://iris.isr.umich.edu/research-data/grants/" TargetMode="External"/><Relationship Id="rId162" Type="http://schemas.openxmlformats.org/officeDocument/2006/relationships/hyperlink" Target="http://vermontstudiocenter.org/fellowships" TargetMode="External"/><Relationship Id="rId218" Type="http://schemas.openxmlformats.org/officeDocument/2006/relationships/hyperlink" Target="http://www.apa.org/apf/funding/visionary.aspx" TargetMode="External"/><Relationship Id="rId425" Type="http://schemas.openxmlformats.org/officeDocument/2006/relationships/hyperlink" Target="https://www.nsf.gov/funding/pgm_summ.jsp?pims_id=503413" TargetMode="External"/><Relationship Id="rId467" Type="http://schemas.openxmlformats.org/officeDocument/2006/relationships/hyperlink" Target="https://www.niaid.nih.gov/" TargetMode="External"/><Relationship Id="rId271" Type="http://schemas.openxmlformats.org/officeDocument/2006/relationships/hyperlink" Target="http://www.vilcek.org/" TargetMode="External"/><Relationship Id="rId24" Type="http://schemas.openxmlformats.org/officeDocument/2006/relationships/hyperlink" Target="https://casbs.stanford.edu/fellowship-application-guidelines-and-selection-process" TargetMode="External"/><Relationship Id="rId66" Type="http://schemas.openxmlformats.org/officeDocument/2006/relationships/hyperlink" Target="http://delmas.org/grants/venetian-program-grants/research-in-venice-application-instructions/" TargetMode="External"/><Relationship Id="rId131" Type="http://schemas.openxmlformats.org/officeDocument/2006/relationships/hyperlink" Target="http://www.caorc.org/" TargetMode="External"/><Relationship Id="rId327" Type="http://schemas.openxmlformats.org/officeDocument/2006/relationships/hyperlink" Target="https://www.aaas.org/page/aaas-early-career-award-public-engagement-science" TargetMode="External"/><Relationship Id="rId369" Type="http://schemas.openxmlformats.org/officeDocument/2006/relationships/hyperlink" Target="http://www.grammymuseum.org/" TargetMode="External"/><Relationship Id="rId534" Type="http://schemas.openxmlformats.org/officeDocument/2006/relationships/hyperlink" Target="https://nyscf.org/" TargetMode="External"/><Relationship Id="rId576" Type="http://schemas.openxmlformats.org/officeDocument/2006/relationships/hyperlink" Target="http://www.archives.nysed.gov/" TargetMode="External"/><Relationship Id="rId173" Type="http://schemas.openxmlformats.org/officeDocument/2006/relationships/hyperlink" Target="http://www.ucrossfoundation.org/residency-program/" TargetMode="External"/><Relationship Id="rId229" Type="http://schemas.openxmlformats.org/officeDocument/2006/relationships/hyperlink" Target="http://www.whitehall.org/" TargetMode="External"/><Relationship Id="rId380" Type="http://schemas.openxmlformats.org/officeDocument/2006/relationships/hyperlink" Target="https://www.nsf.gov/funding/pgm_summ.jsp?pims_id=503418" TargetMode="External"/><Relationship Id="rId436" Type="http://schemas.openxmlformats.org/officeDocument/2006/relationships/hyperlink" Target="https://www.nsf.gov/funding/pgm_summ.jsp?pims_id=503418" TargetMode="External"/><Relationship Id="rId240" Type="http://schemas.openxmlformats.org/officeDocument/2006/relationships/hyperlink" Target="https://www.spencer.org/apply" TargetMode="External"/><Relationship Id="rId478" Type="http://schemas.openxmlformats.org/officeDocument/2006/relationships/hyperlink" Target="https://www.nsf.gov/funding/pgm_summ.jsp?pims_id=503418" TargetMode="External"/><Relationship Id="rId35" Type="http://schemas.openxmlformats.org/officeDocument/2006/relationships/hyperlink" Target="https://www.ned.org/" TargetMode="External"/><Relationship Id="rId77" Type="http://schemas.openxmlformats.org/officeDocument/2006/relationships/hyperlink" Target="https://www.aacc.org/" TargetMode="External"/><Relationship Id="rId100" Type="http://schemas.openxmlformats.org/officeDocument/2006/relationships/hyperlink" Target="http://www.nsf.gov/funding/pgm_summ.jsp?pims_id=5260" TargetMode="External"/><Relationship Id="rId282" Type="http://schemas.openxmlformats.org/officeDocument/2006/relationships/hyperlink" Target="http://clah.h-net.org/?page_id=147" TargetMode="External"/><Relationship Id="rId338" Type="http://schemas.openxmlformats.org/officeDocument/2006/relationships/hyperlink" Target="http://www.nsf.gov/funding/pgm_summ.jsp?pims_id=5437&amp;org=SES&amp;from=home" TargetMode="External"/><Relationship Id="rId503" Type="http://schemas.openxmlformats.org/officeDocument/2006/relationships/hyperlink" Target="http://www.chibs.edu.tw/eng_html/index_eng00_07.html" TargetMode="External"/><Relationship Id="rId545" Type="http://schemas.openxmlformats.org/officeDocument/2006/relationships/hyperlink" Target="http://www.jfny.org/arts_and_culture/smallgrant.html" TargetMode="External"/><Relationship Id="rId587" Type="http://schemas.openxmlformats.org/officeDocument/2006/relationships/hyperlink" Target="https://clags.org/fellowships-and-awards3/" TargetMode="External"/><Relationship Id="rId8" Type="http://schemas.openxmlformats.org/officeDocument/2006/relationships/hyperlink" Target="https://sloan.org/fellowships" TargetMode="External"/><Relationship Id="rId142" Type="http://schemas.openxmlformats.org/officeDocument/2006/relationships/hyperlink" Target="http://uconn.edu/" TargetMode="External"/><Relationship Id="rId184" Type="http://schemas.openxmlformats.org/officeDocument/2006/relationships/hyperlink" Target="https://www.opensocietyfoundations.org/" TargetMode="External"/><Relationship Id="rId391" Type="http://schemas.openxmlformats.org/officeDocument/2006/relationships/hyperlink" Target="https://www.spencer.org/" TargetMode="External"/><Relationship Id="rId405" Type="http://schemas.openxmlformats.org/officeDocument/2006/relationships/hyperlink" Target="https://www.nsf.gov/" TargetMode="External"/><Relationship Id="rId447" Type="http://schemas.openxmlformats.org/officeDocument/2006/relationships/hyperlink" Target="https://www.sns.ias.edu/" TargetMode="External"/><Relationship Id="rId251" Type="http://schemas.openxmlformats.org/officeDocument/2006/relationships/hyperlink" Target="http://www.nsf.gov/funding/pgm_summ.jsp?pims_id=5686&amp;WT.mc_id=USNSF_39&amp;WT.mc_ev=click" TargetMode="External"/><Relationship Id="rId489" Type="http://schemas.openxmlformats.org/officeDocument/2006/relationships/hyperlink" Target="https://www.rutgers.edu/" TargetMode="External"/><Relationship Id="rId46" Type="http://schemas.openxmlformats.org/officeDocument/2006/relationships/hyperlink" Target="https://www.nsf.gov/" TargetMode="External"/><Relationship Id="rId293" Type="http://schemas.openxmlformats.org/officeDocument/2006/relationships/hyperlink" Target="https://www.simonsfoundation.org/grant/2017-simons-postdoctoral-fellowships-in-marine-microbial-ecology/" TargetMode="External"/><Relationship Id="rId307" Type="http://schemas.openxmlformats.org/officeDocument/2006/relationships/hyperlink" Target="https://clags.org/scholar-in-residence-fellowship/" TargetMode="External"/><Relationship Id="rId349" Type="http://schemas.openxmlformats.org/officeDocument/2006/relationships/hyperlink" Target="http://www.oclc.org/" TargetMode="External"/><Relationship Id="rId514" Type="http://schemas.openxmlformats.org/officeDocument/2006/relationships/hyperlink" Target="http://www.foundationforcontemporaryarts.org/grants/emergency-grants" TargetMode="External"/><Relationship Id="rId556" Type="http://schemas.openxmlformats.org/officeDocument/2006/relationships/hyperlink" Target="https://www.arts.gov/grants-organizations/research-art-works" TargetMode="External"/><Relationship Id="rId88" Type="http://schemas.openxmlformats.org/officeDocument/2006/relationships/hyperlink" Target="https://www.thebrf.org/for-researchers/fayfrank-seed-grant-program/" TargetMode="External"/><Relationship Id="rId111" Type="http://schemas.openxmlformats.org/officeDocument/2006/relationships/hyperlink" Target="https://www.si.edu/" TargetMode="External"/><Relationship Id="rId153" Type="http://schemas.openxmlformats.org/officeDocument/2006/relationships/hyperlink" Target="https://www.radcliffe.harvard.edu/" TargetMode="External"/><Relationship Id="rId195" Type="http://schemas.openxmlformats.org/officeDocument/2006/relationships/hyperlink" Target="https://www.acs.org/content/acs/en/funding-and-awards/grants/prf/programs/uni.html" TargetMode="External"/><Relationship Id="rId209" Type="http://schemas.openxmlformats.org/officeDocument/2006/relationships/hyperlink" Target="https://www.historians.org/" TargetMode="External"/><Relationship Id="rId360" Type="http://schemas.openxmlformats.org/officeDocument/2006/relationships/hyperlink" Target="http://www.feminist-review-trust.com/" TargetMode="External"/><Relationship Id="rId416" Type="http://schemas.openxmlformats.org/officeDocument/2006/relationships/hyperlink" Target="https://www.nsf.gov/funding/pgm_summ.jsp?pims_id=505058" TargetMode="External"/><Relationship Id="rId220" Type="http://schemas.openxmlformats.org/officeDocument/2006/relationships/hyperlink" Target="http://www.apsanet.org/" TargetMode="External"/><Relationship Id="rId458" Type="http://schemas.openxmlformats.org/officeDocument/2006/relationships/hyperlink" Target="http://www.apa.org/about/awards/international-conference-grant.aspx" TargetMode="External"/><Relationship Id="rId15" Type="http://schemas.openxmlformats.org/officeDocument/2006/relationships/hyperlink" Target="https://www.simonsfoundation.org/" TargetMode="External"/><Relationship Id="rId57" Type="http://schemas.openxmlformats.org/officeDocument/2006/relationships/hyperlink" Target="https://pcaaca.org/" TargetMode="External"/><Relationship Id="rId262" Type="http://schemas.openxmlformats.org/officeDocument/2006/relationships/hyperlink" Target="https://eastwestdialogue.org/" TargetMode="External"/><Relationship Id="rId318" Type="http://schemas.openxmlformats.org/officeDocument/2006/relationships/hyperlink" Target="https://www.nsf.gov/" TargetMode="External"/><Relationship Id="rId525" Type="http://schemas.openxmlformats.org/officeDocument/2006/relationships/hyperlink" Target="http://taths.org.uk/" TargetMode="External"/><Relationship Id="rId567" Type="http://schemas.openxmlformats.org/officeDocument/2006/relationships/hyperlink" Target="http://fitchfoundation.org/grants/fitch-kress/" TargetMode="External"/><Relationship Id="rId99" Type="http://schemas.openxmlformats.org/officeDocument/2006/relationships/hyperlink" Target="https://www.arts.gov/grants-individuals/translation-projects" TargetMode="External"/><Relationship Id="rId122" Type="http://schemas.openxmlformats.org/officeDocument/2006/relationships/hyperlink" Target="http://www.nsf.gov/funding/pgm_summ.jsp?pims_id=5388" TargetMode="External"/><Relationship Id="rId164" Type="http://schemas.openxmlformats.org/officeDocument/2006/relationships/hyperlink" Target="http://depts.washington.edu/jacobsf/" TargetMode="External"/><Relationship Id="rId371" Type="http://schemas.openxmlformats.org/officeDocument/2006/relationships/hyperlink" Target="http://www.harpofoundation.org/" TargetMode="External"/><Relationship Id="rId427" Type="http://schemas.openxmlformats.org/officeDocument/2006/relationships/hyperlink" Target="https://www.nsf.gov/funding/pgm_summ.jsp?pims_id=503417" TargetMode="External"/><Relationship Id="rId469" Type="http://schemas.openxmlformats.org/officeDocument/2006/relationships/hyperlink" Target="https://www.neuroscienceblueprint.nih.gov/" TargetMode="External"/><Relationship Id="rId26" Type="http://schemas.openxmlformats.org/officeDocument/2006/relationships/hyperlink" Target="https://uchv.princeton.edu/fellowships-awards/laurance-s-rockefeller-visiting-faculty-fellowships" TargetMode="External"/><Relationship Id="rId231" Type="http://schemas.openxmlformats.org/officeDocument/2006/relationships/hyperlink" Target="http://www.apa.org/apf/funding/gralnick.aspx" TargetMode="External"/><Relationship Id="rId273" Type="http://schemas.openxmlformats.org/officeDocument/2006/relationships/hyperlink" Target="http://www.vilcek.org/" TargetMode="External"/><Relationship Id="rId329" Type="http://schemas.openxmlformats.org/officeDocument/2006/relationships/hyperlink" Target="https://research.google.com/research-outreach.html" TargetMode="External"/><Relationship Id="rId480" Type="http://schemas.openxmlformats.org/officeDocument/2006/relationships/hyperlink" Target="http://www.whjohnsongrant.org/" TargetMode="External"/><Relationship Id="rId536" Type="http://schemas.openxmlformats.org/officeDocument/2006/relationships/hyperlink" Target="https://www.simonsfoundation.org/" TargetMode="External"/><Relationship Id="rId68" Type="http://schemas.openxmlformats.org/officeDocument/2006/relationships/hyperlink" Target="http://gruber.yale.edu/genetics" TargetMode="External"/><Relationship Id="rId133" Type="http://schemas.openxmlformats.org/officeDocument/2006/relationships/hyperlink" Target="http://www.chemheritage.org/research/beckman-center/beckman-center-fellowships/index.aspx?utm_source=BeckmanCenter&amp;utm_medium=web&amp;utm_campaign=redirect" TargetMode="External"/><Relationship Id="rId175" Type="http://schemas.openxmlformats.org/officeDocument/2006/relationships/hyperlink" Target="http://www.furthermore.org/apply.html" TargetMode="External"/><Relationship Id="rId340" Type="http://schemas.openxmlformats.org/officeDocument/2006/relationships/hyperlink" Target="http://www.russellsage.org/" TargetMode="External"/><Relationship Id="rId578" Type="http://schemas.openxmlformats.org/officeDocument/2006/relationships/hyperlink" Target="http://www.bwfund.org/grant-programs/regulatory-science/innovation-regulatory-science" TargetMode="External"/><Relationship Id="rId200" Type="http://schemas.openxmlformats.org/officeDocument/2006/relationships/hyperlink" Target="https://www.mcknight.org/" TargetMode="External"/><Relationship Id="rId382" Type="http://schemas.openxmlformats.org/officeDocument/2006/relationships/hyperlink" Target="https://www.nsf.gov/funding/pgm_summ.jsp?pims_id=503418" TargetMode="External"/><Relationship Id="rId438" Type="http://schemas.openxmlformats.org/officeDocument/2006/relationships/hyperlink" Target="https://www.simonsfoundati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2"/>
  <sheetViews>
    <sheetView tabSelected="1" workbookViewId="0">
      <pane ySplit="1" topLeftCell="A506" activePane="bottomLeft" state="frozen"/>
      <selection pane="bottomLeft"/>
    </sheetView>
  </sheetViews>
  <sheetFormatPr defaultColWidth="14.42578125" defaultRowHeight="15" customHeight="1" x14ac:dyDescent="0.25"/>
  <cols>
    <col min="1" max="1" width="11.85546875" customWidth="1"/>
    <col min="2" max="2" width="26.7109375" style="72" customWidth="1"/>
    <col min="3" max="3" width="38.28515625" style="72" customWidth="1"/>
    <col min="4" max="4" width="15.42578125" style="49" customWidth="1"/>
    <col min="5" max="5" width="15" style="49" customWidth="1"/>
    <col min="6" max="6" width="14.28515625" style="49" customWidth="1"/>
    <col min="7" max="7" width="15.28515625" style="49" customWidth="1"/>
    <col min="8" max="8" width="54.28515625" customWidth="1"/>
    <col min="9" max="9" width="12.28515625" style="49" customWidth="1"/>
    <col min="10" max="11" width="8.7109375" customWidth="1"/>
  </cols>
  <sheetData>
    <row r="1" spans="1:11" s="78" customFormat="1" ht="25.5" x14ac:dyDescent="0.25">
      <c r="A1" s="73" t="s">
        <v>0</v>
      </c>
      <c r="B1" s="74" t="s">
        <v>1</v>
      </c>
      <c r="C1" s="74" t="s">
        <v>2</v>
      </c>
      <c r="D1" s="75" t="s">
        <v>3</v>
      </c>
      <c r="E1" s="75" t="s">
        <v>4</v>
      </c>
      <c r="F1" s="75" t="s">
        <v>5</v>
      </c>
      <c r="G1" s="75" t="s">
        <v>6</v>
      </c>
      <c r="H1" s="76" t="s">
        <v>7</v>
      </c>
      <c r="I1" s="75" t="s">
        <v>8</v>
      </c>
      <c r="J1" s="77"/>
      <c r="K1" s="77"/>
    </row>
    <row r="2" spans="1:11" ht="25.5" x14ac:dyDescent="0.25">
      <c r="A2" s="22">
        <v>42736</v>
      </c>
      <c r="B2" s="58" t="s">
        <v>9</v>
      </c>
      <c r="C2" s="58" t="s">
        <v>10</v>
      </c>
      <c r="D2" s="39" t="s">
        <v>11</v>
      </c>
      <c r="E2" s="39" t="s">
        <v>12</v>
      </c>
      <c r="F2" s="39"/>
      <c r="G2" s="39"/>
      <c r="H2" s="1" t="s">
        <v>13</v>
      </c>
      <c r="I2" s="39"/>
      <c r="J2" s="2"/>
      <c r="K2" s="2"/>
    </row>
    <row r="3" spans="1:11" x14ac:dyDescent="0.25">
      <c r="A3" s="22">
        <v>42740</v>
      </c>
      <c r="B3" s="58" t="s">
        <v>14</v>
      </c>
      <c r="C3" s="58" t="s">
        <v>15</v>
      </c>
      <c r="D3" s="39" t="s">
        <v>16</v>
      </c>
      <c r="E3" s="39" t="s">
        <v>17</v>
      </c>
      <c r="F3" s="39"/>
      <c r="G3" s="39"/>
      <c r="H3" s="1"/>
      <c r="I3" s="39"/>
      <c r="J3" s="2"/>
      <c r="K3" s="2"/>
    </row>
    <row r="4" spans="1:11" ht="25.5" x14ac:dyDescent="0.25">
      <c r="A4" s="22">
        <v>42742</v>
      </c>
      <c r="B4" s="58" t="str">
        <f>HYPERLINK("https://www.nih.gov/","National Institutes of Health")</f>
        <v>National Institutes of Health</v>
      </c>
      <c r="C4" s="59" t="s">
        <v>18</v>
      </c>
      <c r="D4" s="39" t="s">
        <v>19</v>
      </c>
      <c r="E4" s="39" t="s">
        <v>17</v>
      </c>
      <c r="F4" s="39"/>
      <c r="G4" s="39"/>
      <c r="H4" s="1" t="s">
        <v>13</v>
      </c>
      <c r="I4" s="39"/>
      <c r="J4" s="2"/>
      <c r="K4" s="2"/>
    </row>
    <row r="5" spans="1:11" ht="63.75" x14ac:dyDescent="0.25">
      <c r="A5" s="22">
        <v>42747</v>
      </c>
      <c r="B5" s="58" t="str">
        <f>HYPERLINK("https://www.google.com/url?q=http://www.fu-berlin.de/en/sites/bprogram/application/index.html&amp;ust=1512577140000000&amp;usg=AFQjCNFWn1NjpM64B1Ba5nk9PcL_pVQiQg&amp;hl=en&amp;source=gmail","Berlin Program for Advanced German and European Studies")</f>
        <v>Berlin Program for Advanced German and European Studies</v>
      </c>
      <c r="C5" s="58" t="str">
        <f>HYPERLINK("https://www.google.com/url?q=http://www.fu-berlin.de/en/sites/bprogram/application/index.html&amp;ust=1512577140000000&amp;usg=AFQjCNFWn1NjpM64B1Ba5nk9PcL_pVQiQg&amp;hl=en&amp;source=gmail","Fellowship")</f>
        <v>Fellowship</v>
      </c>
      <c r="D5" s="39" t="s">
        <v>20</v>
      </c>
      <c r="E5" s="39" t="s">
        <v>21</v>
      </c>
      <c r="F5" s="39"/>
      <c r="G5" s="50">
        <v>20000</v>
      </c>
      <c r="H5" s="3" t="s">
        <v>22</v>
      </c>
      <c r="I5" s="39"/>
      <c r="J5" s="2"/>
      <c r="K5" s="2"/>
    </row>
    <row r="6" spans="1:11" ht="140.25" x14ac:dyDescent="0.25">
      <c r="A6" s="22">
        <v>42753</v>
      </c>
      <c r="B6" s="58" t="s">
        <v>23</v>
      </c>
      <c r="C6" s="58" t="str">
        <f>HYPERLINK("https://www.kinshipfellows.org/program/become-a-fellow","Fellows ")</f>
        <v xml:space="preserve">Fellows </v>
      </c>
      <c r="D6" s="39" t="s">
        <v>19</v>
      </c>
      <c r="E6" s="39" t="s">
        <v>21</v>
      </c>
      <c r="F6" s="39" t="s">
        <v>24</v>
      </c>
      <c r="G6" s="39" t="s">
        <v>25</v>
      </c>
      <c r="H6" s="3" t="s">
        <v>26</v>
      </c>
      <c r="I6" s="39"/>
      <c r="J6" s="2"/>
      <c r="K6" s="2"/>
    </row>
    <row r="7" spans="1:11" ht="51" x14ac:dyDescent="0.25">
      <c r="A7" s="22">
        <v>42760</v>
      </c>
      <c r="B7" s="60" t="s">
        <v>27</v>
      </c>
      <c r="C7" s="60" t="s">
        <v>28</v>
      </c>
      <c r="D7" s="39" t="s">
        <v>19</v>
      </c>
      <c r="E7" s="39" t="s">
        <v>17</v>
      </c>
      <c r="F7" s="39"/>
      <c r="G7" s="39"/>
      <c r="H7" s="3" t="s">
        <v>29</v>
      </c>
      <c r="I7" s="39"/>
      <c r="J7" s="2"/>
      <c r="K7" s="2"/>
    </row>
    <row r="8" spans="1:11" ht="114.75" x14ac:dyDescent="0.25">
      <c r="A8" s="22">
        <v>42840</v>
      </c>
      <c r="B8" s="58" t="str">
        <f>HYPERLINK("https://www.nypl.org/","New York Public Library")</f>
        <v>New York Public Library</v>
      </c>
      <c r="C8" s="58" t="str">
        <f>HYPERLINK("https://www.nypl.org/dance-fellowship","Dance Research Fellowships")</f>
        <v>Dance Research Fellowships</v>
      </c>
      <c r="D8" s="39" t="s">
        <v>30</v>
      </c>
      <c r="E8" s="39" t="s">
        <v>21</v>
      </c>
      <c r="F8" s="39"/>
      <c r="G8" s="50">
        <v>7500</v>
      </c>
      <c r="H8" s="3" t="s">
        <v>31</v>
      </c>
      <c r="I8" s="39" t="s">
        <v>32</v>
      </c>
      <c r="J8" s="2"/>
      <c r="K8" s="2"/>
    </row>
    <row r="9" spans="1:11" ht="127.5" x14ac:dyDescent="0.25">
      <c r="A9" s="22">
        <v>42908</v>
      </c>
      <c r="B9" s="58" t="str">
        <f>HYPERLINK("https://ies.ed.gov/","Institute of Education Science")</f>
        <v>Institute of Education Science</v>
      </c>
      <c r="C9" s="58" t="str">
        <f>HYPERLINK("https://ies.ed.gov/funding/ncer_progs.asp","Education Research Grants")</f>
        <v>Education Research Grants</v>
      </c>
      <c r="D9" s="39" t="s">
        <v>33</v>
      </c>
      <c r="E9" s="39" t="s">
        <v>17</v>
      </c>
      <c r="F9" s="39"/>
      <c r="G9" s="39"/>
      <c r="H9" s="3" t="s">
        <v>34</v>
      </c>
      <c r="I9" s="39"/>
      <c r="J9" s="2"/>
      <c r="K9" s="2"/>
    </row>
    <row r="10" spans="1:11" ht="165.75" x14ac:dyDescent="0.25">
      <c r="A10" s="22">
        <v>42941</v>
      </c>
      <c r="B10" s="60" t="s">
        <v>35</v>
      </c>
      <c r="C10" s="60" t="s">
        <v>36</v>
      </c>
      <c r="D10" s="39" t="s">
        <v>37</v>
      </c>
      <c r="E10" s="39" t="s">
        <v>21</v>
      </c>
      <c r="F10" s="39"/>
      <c r="G10" s="39" t="s">
        <v>38</v>
      </c>
      <c r="H10" s="3" t="s">
        <v>39</v>
      </c>
      <c r="I10" s="39"/>
      <c r="J10" s="2"/>
      <c r="K10" s="2"/>
    </row>
    <row r="11" spans="1:11" ht="140.25" x14ac:dyDescent="0.25">
      <c r="A11" s="22">
        <v>42993</v>
      </c>
      <c r="B11" s="58" t="s">
        <v>40</v>
      </c>
      <c r="C11" s="58" t="s">
        <v>41</v>
      </c>
      <c r="D11" s="39" t="s">
        <v>19</v>
      </c>
      <c r="E11" s="39" t="s">
        <v>42</v>
      </c>
      <c r="F11" s="39" t="s">
        <v>43</v>
      </c>
      <c r="G11" s="50">
        <v>65000</v>
      </c>
      <c r="H11" s="3" t="s">
        <v>44</v>
      </c>
      <c r="I11" s="39" t="s">
        <v>45</v>
      </c>
      <c r="J11" s="2"/>
      <c r="K11" s="2"/>
    </row>
    <row r="12" spans="1:11" ht="63.75" x14ac:dyDescent="0.25">
      <c r="A12" s="22">
        <v>43006</v>
      </c>
      <c r="B12" s="58" t="s">
        <v>46</v>
      </c>
      <c r="C12" s="58" t="str">
        <f>HYPERLINK("https://www.simonsfoundation.org/mathematics-physical-sciences/simons-fellows/","Simons Fellows in Mathematics")</f>
        <v>Simons Fellows in Mathematics</v>
      </c>
      <c r="D12" s="39" t="s">
        <v>47</v>
      </c>
      <c r="E12" s="39" t="s">
        <v>42</v>
      </c>
      <c r="F12" s="39"/>
      <c r="G12" s="39" t="s">
        <v>48</v>
      </c>
      <c r="H12" s="3" t="s">
        <v>49</v>
      </c>
      <c r="I12" s="39" t="s">
        <v>45</v>
      </c>
      <c r="J12" s="2"/>
      <c r="K12" s="2"/>
    </row>
    <row r="13" spans="1:11" ht="63.75" x14ac:dyDescent="0.25">
      <c r="A13" s="22">
        <v>43006</v>
      </c>
      <c r="B13" s="58" t="s">
        <v>46</v>
      </c>
      <c r="C13" s="58" t="str">
        <f>HYPERLINK("https://www.simonsfoundation.org/mathematics-physical-sciences/simons-fellows/","Simons Fellows in Theoretical Physics")</f>
        <v>Simons Fellows in Theoretical Physics</v>
      </c>
      <c r="D13" s="39" t="s">
        <v>47</v>
      </c>
      <c r="E13" s="39" t="s">
        <v>42</v>
      </c>
      <c r="F13" s="39"/>
      <c r="G13" s="39" t="s">
        <v>50</v>
      </c>
      <c r="H13" s="3" t="s">
        <v>51</v>
      </c>
      <c r="I13" s="39" t="s">
        <v>45</v>
      </c>
      <c r="J13" s="2"/>
      <c r="K13" s="2"/>
    </row>
    <row r="14" spans="1:11" ht="140.25" x14ac:dyDescent="0.25">
      <c r="A14" s="22">
        <v>43009</v>
      </c>
      <c r="B14" s="58" t="s">
        <v>52</v>
      </c>
      <c r="C14" s="58" t="str">
        <f>HYPERLINK("http://societyhumanities.as.cornell.edu/society-fellowships","Society Fellowship")</f>
        <v>Society Fellowship</v>
      </c>
      <c r="D14" s="39" t="s">
        <v>11</v>
      </c>
      <c r="E14" s="39" t="s">
        <v>21</v>
      </c>
      <c r="F14" s="39"/>
      <c r="G14" s="50">
        <v>50000</v>
      </c>
      <c r="H14" s="3" t="s">
        <v>53</v>
      </c>
      <c r="I14" s="39"/>
      <c r="J14" s="2"/>
      <c r="K14" s="2"/>
    </row>
    <row r="15" spans="1:11" ht="127.5" x14ac:dyDescent="0.25">
      <c r="A15" s="22">
        <v>43009</v>
      </c>
      <c r="B15" s="58" t="s">
        <v>52</v>
      </c>
      <c r="C15" s="58" t="str">
        <f>HYPERLINK("http://societyhumanities.as.cornell.edu/sustainability-fellowship","Sustainability Fellowship")</f>
        <v>Sustainability Fellowship</v>
      </c>
      <c r="D15" s="39" t="s">
        <v>11</v>
      </c>
      <c r="E15" s="39" t="s">
        <v>21</v>
      </c>
      <c r="F15" s="39"/>
      <c r="G15" s="50">
        <v>54000</v>
      </c>
      <c r="H15" s="3" t="s">
        <v>54</v>
      </c>
      <c r="I15" s="39"/>
      <c r="J15" s="2"/>
      <c r="K15" s="2"/>
    </row>
    <row r="16" spans="1:11" ht="76.5" x14ac:dyDescent="0.25">
      <c r="A16" s="22">
        <v>43010</v>
      </c>
      <c r="B16" s="58" t="s">
        <v>55</v>
      </c>
      <c r="C16" s="58" t="s">
        <v>56</v>
      </c>
      <c r="D16" s="39" t="s">
        <v>11</v>
      </c>
      <c r="E16" s="39" t="s">
        <v>57</v>
      </c>
      <c r="F16" s="39"/>
      <c r="G16" s="39"/>
      <c r="H16" s="3" t="s">
        <v>58</v>
      </c>
      <c r="I16" s="39"/>
      <c r="J16" s="2"/>
      <c r="K16" s="2"/>
    </row>
    <row r="17" spans="1:11" ht="102" x14ac:dyDescent="0.25">
      <c r="A17" s="22">
        <v>43011</v>
      </c>
      <c r="B17" s="58" t="s">
        <v>46</v>
      </c>
      <c r="C17" s="58" t="str">
        <f>HYPERLINK("https://www.simonsfoundation.org/grant/simons-collaborations-in-mathematics-and-the-physical-sciences/","Simons Collaborations in MPS")</f>
        <v>Simons Collaborations in MPS</v>
      </c>
      <c r="D17" s="39" t="s">
        <v>47</v>
      </c>
      <c r="E17" s="39" t="s">
        <v>17</v>
      </c>
      <c r="F17" s="39"/>
      <c r="G17" s="39" t="s">
        <v>59</v>
      </c>
      <c r="H17" s="3" t="s">
        <v>60</v>
      </c>
      <c r="I17" s="39"/>
      <c r="J17" s="2"/>
      <c r="K17" s="2"/>
    </row>
    <row r="18" spans="1:11" ht="102" x14ac:dyDescent="0.25">
      <c r="A18" s="22">
        <v>43016</v>
      </c>
      <c r="B18" s="58" t="s">
        <v>61</v>
      </c>
      <c r="C18" s="58" t="str">
        <f>HYPERLINK("http://www.botstiber.org/austrian/ceu/index.html","Botstiber Fellowship in Transatlantic Austrian and Central European Relationships")</f>
        <v>Botstiber Fellowship in Transatlantic Austrian and Central European Relationships</v>
      </c>
      <c r="D18" s="39" t="s">
        <v>20</v>
      </c>
      <c r="E18" s="39" t="s">
        <v>21</v>
      </c>
      <c r="F18" s="39"/>
      <c r="G18" s="39" t="s">
        <v>62</v>
      </c>
      <c r="H18" s="3" t="s">
        <v>63</v>
      </c>
      <c r="I18" s="39"/>
      <c r="J18" s="2"/>
      <c r="K18" s="2"/>
    </row>
    <row r="19" spans="1:11" ht="242.25" x14ac:dyDescent="0.25">
      <c r="A19" s="22">
        <v>43023</v>
      </c>
      <c r="B19" s="58" t="s">
        <v>64</v>
      </c>
      <c r="C19" s="58" t="s">
        <v>65</v>
      </c>
      <c r="D19" s="39" t="s">
        <v>66</v>
      </c>
      <c r="E19" s="39" t="s">
        <v>21</v>
      </c>
      <c r="F19" s="39" t="s">
        <v>67</v>
      </c>
      <c r="G19" s="39" t="s">
        <v>68</v>
      </c>
      <c r="H19" s="3" t="s">
        <v>69</v>
      </c>
      <c r="I19" s="39"/>
      <c r="J19" s="2"/>
      <c r="K19" s="2"/>
    </row>
    <row r="20" spans="1:11" ht="102" x14ac:dyDescent="0.25">
      <c r="A20" s="22">
        <v>43026</v>
      </c>
      <c r="B20" s="58" t="str">
        <f>HYPERLINK("https://nationalhumanitiescenter.org/","National Humanities Center")</f>
        <v>National Humanities Center</v>
      </c>
      <c r="C20" s="58" t="str">
        <f>HYPERLINK("https://nationalhumanitiescenter.org/become-a-fellow/","Fellowship")</f>
        <v>Fellowship</v>
      </c>
      <c r="D20" s="39" t="s">
        <v>11</v>
      </c>
      <c r="E20" s="39" t="s">
        <v>21</v>
      </c>
      <c r="F20" s="39"/>
      <c r="G20" s="39" t="s">
        <v>70</v>
      </c>
      <c r="H20" s="3" t="s">
        <v>71</v>
      </c>
      <c r="I20" s="39"/>
      <c r="J20" s="2"/>
      <c r="K20" s="2"/>
    </row>
    <row r="21" spans="1:11" ht="102" x14ac:dyDescent="0.25">
      <c r="A21" s="22">
        <v>43026</v>
      </c>
      <c r="B21" s="58" t="str">
        <f>HYPERLINK("https://www.clir.org/","Council on Library and Information Resources")</f>
        <v>Council on Library and Information Resources</v>
      </c>
      <c r="C21" s="58" t="str">
        <f>HYPERLINK("https://www.clir.org/fellowships/postdoc/hosts/fellowships-in-data-curation-for-latin-american-and-caribbean-studies","Fellowships in Data Curation for Latin American and Caribbean Studies")</f>
        <v>Fellowships in Data Curation for Latin American and Caribbean Studies</v>
      </c>
      <c r="D21" s="39" t="s">
        <v>72</v>
      </c>
      <c r="E21" s="39" t="s">
        <v>73</v>
      </c>
      <c r="F21" s="39"/>
      <c r="G21" s="39" t="s">
        <v>74</v>
      </c>
      <c r="H21" s="3" t="s">
        <v>75</v>
      </c>
      <c r="I21" s="39" t="s">
        <v>45</v>
      </c>
      <c r="J21" s="2"/>
      <c r="K21" s="2"/>
    </row>
    <row r="22" spans="1:11" ht="178.5" x14ac:dyDescent="0.25">
      <c r="A22" s="22">
        <v>43028</v>
      </c>
      <c r="B22" s="58" t="str">
        <f>HYPERLINK("http://mesana.org/professional-opportunities/","Stanford University, Moghadam Program in Iranian Studies")</f>
        <v>Stanford University, Moghadam Program in Iranian Studies</v>
      </c>
      <c r="C22" s="58" t="str">
        <f>HYPERLINK("http://mesana.org/professional-opportunities/","Zahedi Family Fellowship")</f>
        <v>Zahedi Family Fellowship</v>
      </c>
      <c r="D22" s="39" t="s">
        <v>76</v>
      </c>
      <c r="E22" s="39" t="s">
        <v>21</v>
      </c>
      <c r="F22" s="39"/>
      <c r="G22" s="39" t="s">
        <v>77</v>
      </c>
      <c r="H22" s="3" t="s">
        <v>78</v>
      </c>
      <c r="I22" s="39"/>
      <c r="J22" s="2"/>
      <c r="K22" s="2"/>
    </row>
    <row r="23" spans="1:11" ht="153" x14ac:dyDescent="0.25">
      <c r="A23" s="22">
        <v>43037</v>
      </c>
      <c r="B23" s="58" t="s">
        <v>79</v>
      </c>
      <c r="C23" s="58" t="s">
        <v>80</v>
      </c>
      <c r="D23" s="39" t="s">
        <v>81</v>
      </c>
      <c r="E23" s="39" t="s">
        <v>21</v>
      </c>
      <c r="F23" s="39"/>
      <c r="G23" s="39" t="s">
        <v>82</v>
      </c>
      <c r="H23" s="3" t="s">
        <v>83</v>
      </c>
      <c r="I23" s="39"/>
      <c r="J23" s="2"/>
      <c r="K23" s="2"/>
    </row>
    <row r="24" spans="1:11" ht="229.5" x14ac:dyDescent="0.25">
      <c r="A24" s="22">
        <v>43039</v>
      </c>
      <c r="B24" s="58" t="str">
        <f>HYPERLINK("http://www.ascsa.edu.gr/","American School of Classical Studies at Athens")</f>
        <v>American School of Classical Studies at Athens</v>
      </c>
      <c r="C24" s="58" t="str">
        <f>HYPERLINK("http://www.ascsa.edu.gr/index.php/admission-membership/post-doctoral-and-senior-scholars","NEH Fellowships")</f>
        <v>NEH Fellowships</v>
      </c>
      <c r="D24" s="39" t="s">
        <v>81</v>
      </c>
      <c r="E24" s="39" t="s">
        <v>21</v>
      </c>
      <c r="F24" s="39"/>
      <c r="G24" s="39" t="s">
        <v>84</v>
      </c>
      <c r="H24" s="3" t="s">
        <v>85</v>
      </c>
      <c r="I24" s="39"/>
      <c r="J24" s="2"/>
      <c r="K24" s="2"/>
    </row>
    <row r="25" spans="1:11" ht="127.5" x14ac:dyDescent="0.25">
      <c r="A25" s="22">
        <v>43039</v>
      </c>
      <c r="B25" s="58" t="str">
        <f>HYPERLINK("https://www.brandeis.edu/israelcenter/","Brandeis University, Schusterman Center for Israel Studies")</f>
        <v>Brandeis University, Schusterman Center for Israel Studies</v>
      </c>
      <c r="C25" s="58" t="str">
        <f>HYPERLINK("https://www.brandeis.edu/israelcenter/support/postdoctoral.html","Postdoctoral Fellowship in Israel Studies ")</f>
        <v xml:space="preserve">Postdoctoral Fellowship in Israel Studies </v>
      </c>
      <c r="D25" s="39" t="s">
        <v>76</v>
      </c>
      <c r="E25" s="39" t="s">
        <v>21</v>
      </c>
      <c r="F25" s="39" t="s">
        <v>86</v>
      </c>
      <c r="G25" s="39" t="s">
        <v>87</v>
      </c>
      <c r="H25" s="3" t="s">
        <v>88</v>
      </c>
      <c r="I25" s="39"/>
      <c r="J25" s="2"/>
      <c r="K25" s="2"/>
    </row>
    <row r="26" spans="1:11" ht="216.75" x14ac:dyDescent="0.25">
      <c r="A26" s="22">
        <v>43040</v>
      </c>
      <c r="B26" s="58" t="str">
        <f>HYPERLINK("https://www.nature.org/","Nature Conservancy ")</f>
        <v xml:space="preserve">Nature Conservancy </v>
      </c>
      <c r="C26" s="58" t="s">
        <v>89</v>
      </c>
      <c r="D26" s="39" t="s">
        <v>90</v>
      </c>
      <c r="E26" s="39" t="s">
        <v>91</v>
      </c>
      <c r="F26" s="39" t="s">
        <v>92</v>
      </c>
      <c r="G26" s="39"/>
      <c r="H26" s="3" t="s">
        <v>93</v>
      </c>
      <c r="I26" s="39" t="s">
        <v>45</v>
      </c>
      <c r="J26" s="2"/>
      <c r="K26" s="2"/>
    </row>
    <row r="27" spans="1:11" ht="114.75" x14ac:dyDescent="0.25">
      <c r="A27" s="22">
        <v>43040</v>
      </c>
      <c r="B27" s="58" t="str">
        <f t="shared" ref="B27:B30" si="0">HYPERLINK("https://www.archaeological.org/","Archeological Institute of America")</f>
        <v>Archeological Institute of America</v>
      </c>
      <c r="C27" s="58" t="str">
        <f>HYPERLINK("https://www.archaeological.org/grants/23667","The Ellen and Charles Steinmetz Endowment Fund for Archeology")</f>
        <v>The Ellen and Charles Steinmetz Endowment Fund for Archeology</v>
      </c>
      <c r="D27" s="39" t="s">
        <v>94</v>
      </c>
      <c r="E27" s="39" t="s">
        <v>95</v>
      </c>
      <c r="F27" s="39" t="s">
        <v>96</v>
      </c>
      <c r="G27" s="50">
        <v>5500</v>
      </c>
      <c r="H27" s="3" t="s">
        <v>97</v>
      </c>
      <c r="I27" s="39"/>
      <c r="J27" s="2"/>
      <c r="K27" s="2"/>
    </row>
    <row r="28" spans="1:11" ht="140.25" x14ac:dyDescent="0.25">
      <c r="A28" s="22">
        <v>43040</v>
      </c>
      <c r="B28" s="58" t="str">
        <f t="shared" si="0"/>
        <v>Archeological Institute of America</v>
      </c>
      <c r="C28" s="58" t="str">
        <f>HYPERLINK("https://www.archaeological.org/grants/23666","Julie Herzig Desnick Endowment Fund for Archaeological Field Surveys")</f>
        <v>Julie Herzig Desnick Endowment Fund for Archaeological Field Surveys</v>
      </c>
      <c r="D28" s="39" t="s">
        <v>94</v>
      </c>
      <c r="E28" s="39" t="s">
        <v>95</v>
      </c>
      <c r="F28" s="39" t="s">
        <v>96</v>
      </c>
      <c r="G28" s="50">
        <v>5000</v>
      </c>
      <c r="H28" s="3" t="s">
        <v>98</v>
      </c>
      <c r="I28" s="39"/>
      <c r="J28" s="2"/>
      <c r="K28" s="2"/>
    </row>
    <row r="29" spans="1:11" ht="140.25" x14ac:dyDescent="0.25">
      <c r="A29" s="22">
        <v>43040</v>
      </c>
      <c r="B29" s="58" t="str">
        <f t="shared" si="0"/>
        <v>Archeological Institute of America</v>
      </c>
      <c r="C29" s="61" t="str">
        <f>HYPERLINK("https://www.archaeological.org/grants/23668","The Kathleen and David Boochever Endowment Fund for Fieldwork and Scientific Analyses")</f>
        <v>The Kathleen and David Boochever Endowment Fund for Fieldwork and Scientific Analyses</v>
      </c>
      <c r="D29" s="39" t="s">
        <v>94</v>
      </c>
      <c r="E29" s="39" t="s">
        <v>95</v>
      </c>
      <c r="F29" s="39" t="s">
        <v>96</v>
      </c>
      <c r="G29" s="50">
        <v>4000</v>
      </c>
      <c r="H29" s="3" t="s">
        <v>99</v>
      </c>
      <c r="I29" s="39"/>
      <c r="J29" s="2"/>
      <c r="K29" s="2"/>
    </row>
    <row r="30" spans="1:11" ht="63.75" x14ac:dyDescent="0.25">
      <c r="A30" s="22">
        <v>43040</v>
      </c>
      <c r="B30" s="58" t="str">
        <f t="shared" si="0"/>
        <v>Archeological Institute of America</v>
      </c>
      <c r="C30" s="58" t="str">
        <f>HYPERLINK("https://www.archaeological.org/grants/10032","Cotsen Excavation Grants")</f>
        <v>Cotsen Excavation Grants</v>
      </c>
      <c r="D30" s="39" t="s">
        <v>94</v>
      </c>
      <c r="E30" s="39" t="s">
        <v>100</v>
      </c>
      <c r="F30" s="39" t="s">
        <v>101</v>
      </c>
      <c r="G30" s="39" t="s">
        <v>102</v>
      </c>
      <c r="H30" s="3" t="s">
        <v>103</v>
      </c>
      <c r="I30" s="39"/>
      <c r="J30" s="2"/>
      <c r="K30" s="2"/>
    </row>
    <row r="31" spans="1:11" ht="140.25" x14ac:dyDescent="0.25">
      <c r="A31" s="22">
        <v>43041</v>
      </c>
      <c r="B31" s="58" t="s">
        <v>104</v>
      </c>
      <c r="C31" s="58" t="str">
        <f>HYPERLINK("http://fitchfoundation.org/grants/kress/","Samuel H. Kress Fellowship")</f>
        <v>Samuel H. Kress Fellowship</v>
      </c>
      <c r="D31" s="39" t="s">
        <v>66</v>
      </c>
      <c r="E31" s="39" t="s">
        <v>73</v>
      </c>
      <c r="F31" s="39" t="s">
        <v>105</v>
      </c>
      <c r="G31" s="39" t="s">
        <v>106</v>
      </c>
      <c r="H31" s="3" t="s">
        <v>107</v>
      </c>
      <c r="I31" s="39"/>
      <c r="J31" s="2"/>
      <c r="K31" s="2"/>
    </row>
    <row r="32" spans="1:11" ht="140.25" x14ac:dyDescent="0.25">
      <c r="A32" s="22">
        <v>43041</v>
      </c>
      <c r="B32" s="58" t="str">
        <f>HYPERLINK("https://www.nasa.gov/","National Aeronautics and Space Administration")</f>
        <v>National Aeronautics and Space Administration</v>
      </c>
      <c r="C32" s="58" t="s">
        <v>108</v>
      </c>
      <c r="D32" s="39" t="s">
        <v>47</v>
      </c>
      <c r="E32" s="39" t="s">
        <v>42</v>
      </c>
      <c r="F32" s="39"/>
      <c r="G32" s="39"/>
      <c r="H32" s="3" t="s">
        <v>109</v>
      </c>
      <c r="I32" s="39" t="s">
        <v>45</v>
      </c>
      <c r="J32" s="2"/>
      <c r="K32" s="2"/>
    </row>
    <row r="33" spans="1:11" ht="153" x14ac:dyDescent="0.25">
      <c r="A33" s="22">
        <v>43043</v>
      </c>
      <c r="B33" s="58" t="str">
        <f>HYPERLINK("https://casbs.stanford.edu/","Center for Advanced Study in the Behavioral Sciences at Stanford University")</f>
        <v>Center for Advanced Study in the Behavioral Sciences at Stanford University</v>
      </c>
      <c r="C33" s="58" t="s">
        <v>110</v>
      </c>
      <c r="D33" s="39" t="s">
        <v>111</v>
      </c>
      <c r="E33" s="39" t="s">
        <v>21</v>
      </c>
      <c r="F33" s="39"/>
      <c r="G33" s="39" t="s">
        <v>112</v>
      </c>
      <c r="H33" s="3" t="s">
        <v>113</v>
      </c>
      <c r="I33" s="39"/>
      <c r="J33" s="2"/>
      <c r="K33" s="2"/>
    </row>
    <row r="34" spans="1:11" ht="89.25" x14ac:dyDescent="0.25">
      <c r="A34" s="22">
        <v>43045</v>
      </c>
      <c r="B34" s="58" t="s">
        <v>114</v>
      </c>
      <c r="C34" s="58" t="s">
        <v>115</v>
      </c>
      <c r="D34" s="39" t="s">
        <v>16</v>
      </c>
      <c r="E34" s="39" t="s">
        <v>21</v>
      </c>
      <c r="F34" s="39"/>
      <c r="G34" s="39" t="s">
        <v>116</v>
      </c>
      <c r="H34" s="3" t="s">
        <v>117</v>
      </c>
      <c r="I34" s="39"/>
      <c r="J34" s="2"/>
      <c r="K34" s="2"/>
    </row>
    <row r="35" spans="1:11" ht="25.5" x14ac:dyDescent="0.25">
      <c r="A35" s="22">
        <v>43046</v>
      </c>
      <c r="B35" s="58" t="s">
        <v>118</v>
      </c>
      <c r="C35" s="58" t="s">
        <v>119</v>
      </c>
      <c r="D35" s="39" t="s">
        <v>19</v>
      </c>
      <c r="E35" s="39" t="s">
        <v>120</v>
      </c>
      <c r="F35" s="39"/>
      <c r="G35" s="39"/>
      <c r="H35" s="1"/>
      <c r="I35" s="39"/>
      <c r="J35" s="2"/>
      <c r="K35" s="2"/>
    </row>
    <row r="36" spans="1:11" ht="204" x14ac:dyDescent="0.25">
      <c r="A36" s="22">
        <v>43046</v>
      </c>
      <c r="B36" s="58" t="s">
        <v>121</v>
      </c>
      <c r="C36" s="58" t="str">
        <f>HYPERLINK("https://www.nsf.gov/funding/pgm_summ.jsp?pims_id=503622","Directorate for Biological Sciences Awards Postdoctoral Research Fellowships in Biology")</f>
        <v>Directorate for Biological Sciences Awards Postdoctoral Research Fellowships in Biology</v>
      </c>
      <c r="D36" s="39" t="s">
        <v>90</v>
      </c>
      <c r="E36" s="39" t="s">
        <v>73</v>
      </c>
      <c r="F36" s="39" t="s">
        <v>92</v>
      </c>
      <c r="G36" s="39"/>
      <c r="H36" s="3" t="s">
        <v>122</v>
      </c>
      <c r="I36" s="39" t="s">
        <v>45</v>
      </c>
      <c r="J36" s="2"/>
      <c r="K36" s="2"/>
    </row>
    <row r="37" spans="1:11" ht="114.75" x14ac:dyDescent="0.25">
      <c r="A37" s="22">
        <v>43046</v>
      </c>
      <c r="B37" s="58" t="s">
        <v>123</v>
      </c>
      <c r="C37" s="58" t="s">
        <v>124</v>
      </c>
      <c r="D37" s="39" t="s">
        <v>111</v>
      </c>
      <c r="E37" s="39" t="s">
        <v>21</v>
      </c>
      <c r="F37" s="39"/>
      <c r="G37" s="39"/>
      <c r="H37" s="3" t="s">
        <v>125</v>
      </c>
      <c r="I37" s="39"/>
      <c r="J37" s="2"/>
      <c r="K37" s="2"/>
    </row>
    <row r="38" spans="1:11" ht="76.5" x14ac:dyDescent="0.25">
      <c r="A38" s="22">
        <v>43047</v>
      </c>
      <c r="B38" s="58" t="s">
        <v>126</v>
      </c>
      <c r="C38" s="58" t="str">
        <f>HYPERLINK("https://www.acls.org/programs/china-studies/#postdoc","ACLS Program in China Studies Fellowships and Grants")</f>
        <v>ACLS Program in China Studies Fellowships and Grants</v>
      </c>
      <c r="D38" s="39" t="s">
        <v>127</v>
      </c>
      <c r="E38" s="39" t="s">
        <v>73</v>
      </c>
      <c r="F38" s="39" t="s">
        <v>128</v>
      </c>
      <c r="G38" s="39" t="s">
        <v>129</v>
      </c>
      <c r="H38" s="3" t="s">
        <v>130</v>
      </c>
      <c r="I38" s="39" t="s">
        <v>45</v>
      </c>
      <c r="J38" s="2"/>
      <c r="K38" s="2"/>
    </row>
    <row r="39" spans="1:11" ht="165.75" x14ac:dyDescent="0.25">
      <c r="A39" s="22">
        <v>43047</v>
      </c>
      <c r="B39" s="58" t="s">
        <v>121</v>
      </c>
      <c r="C39" s="58" t="s">
        <v>131</v>
      </c>
      <c r="D39" s="39" t="s">
        <v>19</v>
      </c>
      <c r="E39" s="39" t="s">
        <v>132</v>
      </c>
      <c r="F39" s="39"/>
      <c r="G39" s="39"/>
      <c r="H39" s="3" t="s">
        <v>133</v>
      </c>
      <c r="I39" s="39"/>
      <c r="J39" s="2"/>
      <c r="K39" s="2"/>
    </row>
    <row r="40" spans="1:11" ht="76.5" x14ac:dyDescent="0.25">
      <c r="A40" s="22">
        <v>43047</v>
      </c>
      <c r="B40" s="58" t="s">
        <v>134</v>
      </c>
      <c r="C40" s="58" t="str">
        <f>HYPERLINK("https://www.ned.org/fellowships/reagan-fascell-democracy-fellows-program/","Reagan-Fascell Democracy Fellowship")</f>
        <v>Reagan-Fascell Democracy Fellowship</v>
      </c>
      <c r="D40" s="39" t="s">
        <v>111</v>
      </c>
      <c r="E40" s="39" t="s">
        <v>21</v>
      </c>
      <c r="F40" s="39"/>
      <c r="G40" s="39"/>
      <c r="H40" s="3" t="s">
        <v>135</v>
      </c>
      <c r="I40" s="39"/>
      <c r="J40" s="2"/>
      <c r="K40" s="2"/>
    </row>
    <row r="41" spans="1:11" ht="63.75" x14ac:dyDescent="0.25">
      <c r="A41" s="22">
        <v>43048</v>
      </c>
      <c r="B41" s="58" t="str">
        <f>HYPERLINK("https://rsa.site-ym.com/","Renaissance Society of America")</f>
        <v>Renaissance Society of America</v>
      </c>
      <c r="C41" s="58" t="str">
        <f>HYPERLINK("https://rsa.site-ym.com/?GrantRSALabalme","The RSA–Patricia H. Labalme Fellowship")</f>
        <v>The RSA–Patricia H. Labalme Fellowship</v>
      </c>
      <c r="D41" s="39" t="s">
        <v>11</v>
      </c>
      <c r="E41" s="39" t="s">
        <v>21</v>
      </c>
      <c r="F41" s="39"/>
      <c r="G41" s="50">
        <v>4000</v>
      </c>
      <c r="H41" s="3" t="s">
        <v>136</v>
      </c>
      <c r="I41" s="39"/>
      <c r="J41" s="2"/>
      <c r="K41" s="2"/>
    </row>
    <row r="42" spans="1:11" ht="140.25" x14ac:dyDescent="0.25">
      <c r="A42" s="22">
        <v>43052</v>
      </c>
      <c r="B42" s="58" t="s">
        <v>137</v>
      </c>
      <c r="C42" s="58" t="s">
        <v>73</v>
      </c>
      <c r="D42" s="39" t="s">
        <v>111</v>
      </c>
      <c r="E42" s="39" t="s">
        <v>21</v>
      </c>
      <c r="F42" s="39"/>
      <c r="G42" s="39" t="s">
        <v>138</v>
      </c>
      <c r="H42" s="3" t="s">
        <v>139</v>
      </c>
      <c r="I42" s="39"/>
      <c r="J42" s="2"/>
      <c r="K42" s="2"/>
    </row>
    <row r="43" spans="1:11" ht="38.25" x14ac:dyDescent="0.25">
      <c r="A43" s="22">
        <v>43053</v>
      </c>
      <c r="B43" s="58" t="s">
        <v>121</v>
      </c>
      <c r="C43" s="58" t="s">
        <v>140</v>
      </c>
      <c r="D43" s="39" t="s">
        <v>90</v>
      </c>
      <c r="E43" s="39" t="s">
        <v>17</v>
      </c>
      <c r="F43" s="39"/>
      <c r="G43" s="39"/>
      <c r="H43" s="1"/>
      <c r="I43" s="39"/>
      <c r="J43" s="4"/>
      <c r="K43" s="4"/>
    </row>
    <row r="44" spans="1:11" ht="25.5" x14ac:dyDescent="0.25">
      <c r="A44" s="22">
        <v>43054</v>
      </c>
      <c r="B44" s="58" t="s">
        <v>141</v>
      </c>
      <c r="C44" s="58" t="s">
        <v>142</v>
      </c>
      <c r="D44" s="39" t="s">
        <v>143</v>
      </c>
      <c r="E44" s="39" t="s">
        <v>12</v>
      </c>
      <c r="F44" s="39"/>
      <c r="G44" s="39"/>
      <c r="H44" s="1"/>
      <c r="I44" s="39"/>
      <c r="J44" s="2"/>
      <c r="K44" s="2"/>
    </row>
    <row r="45" spans="1:11" ht="89.25" x14ac:dyDescent="0.25">
      <c r="A45" s="22">
        <v>43054</v>
      </c>
      <c r="B45" s="58" t="str">
        <f>HYPERLINK("http://www.acls.org/","American Council of Learned Societies")</f>
        <v>American Council of Learned Societies</v>
      </c>
      <c r="C45" s="58" t="str">
        <f>HYPERLINK("http://www.acls.org/programs/buddhist-studies/#research","The Robert H. N. No Family Foundation Research Fellowship in Buddhist Studies")</f>
        <v>The Robert H. N. No Family Foundation Research Fellowship in Buddhist Studies</v>
      </c>
      <c r="D45" s="39" t="s">
        <v>144</v>
      </c>
      <c r="E45" s="39" t="s">
        <v>73</v>
      </c>
      <c r="F45" s="39"/>
      <c r="G45" s="39" t="s">
        <v>145</v>
      </c>
      <c r="H45" s="3" t="s">
        <v>146</v>
      </c>
      <c r="I45" s="39" t="s">
        <v>45</v>
      </c>
      <c r="J45" s="2"/>
      <c r="K45" s="2"/>
    </row>
    <row r="46" spans="1:11" ht="127.5" x14ac:dyDescent="0.25">
      <c r="A46" s="22">
        <v>43054</v>
      </c>
      <c r="B46" s="58" t="str">
        <f>HYPERLINK("http://www.hrc.utexas.edu/","University of Texas at Austin, Harry Ransom Center")</f>
        <v>University of Texas at Austin, Harry Ransom Center</v>
      </c>
      <c r="C46" s="58" t="str">
        <f>HYPERLINK("http://www.hrc.utexas.edu/research/fellowships/","Research Fellowships ")</f>
        <v>Research Fellowships </v>
      </c>
      <c r="D46" s="39" t="s">
        <v>11</v>
      </c>
      <c r="E46" s="39" t="s">
        <v>21</v>
      </c>
      <c r="F46" s="39"/>
      <c r="G46" s="39" t="s">
        <v>147</v>
      </c>
      <c r="H46" s="3" t="s">
        <v>148</v>
      </c>
      <c r="I46" s="39"/>
      <c r="J46" s="2"/>
      <c r="K46" s="2"/>
    </row>
    <row r="47" spans="1:11" ht="114.75" x14ac:dyDescent="0.25">
      <c r="A47" s="22">
        <v>43055</v>
      </c>
      <c r="B47" s="58" t="str">
        <f>HYPERLINK("http://www.acls.org/","American Council of Learned Societies")</f>
        <v>American Council of Learned Societies</v>
      </c>
      <c r="C47" s="58" t="str">
        <f>HYPERLINK("http://www.acls.org/programs/buddhist-studies/#crit","The Robert H. N. Ho Family Foundation Grants for Critical Editions and Scholarly Translations")</f>
        <v>The Robert H. N. Ho Family Foundation Grants for Critical Editions and Scholarly Translations</v>
      </c>
      <c r="D47" s="39" t="s">
        <v>149</v>
      </c>
      <c r="E47" s="39" t="s">
        <v>150</v>
      </c>
      <c r="F47" s="39"/>
      <c r="G47" s="39" t="s">
        <v>151</v>
      </c>
      <c r="H47" s="3" t="s">
        <v>152</v>
      </c>
      <c r="I47" s="39"/>
      <c r="J47" s="2"/>
      <c r="K47" s="2"/>
    </row>
    <row r="48" spans="1:11" ht="38.25" x14ac:dyDescent="0.25">
      <c r="A48" s="22">
        <v>43055</v>
      </c>
      <c r="B48" s="58" t="s">
        <v>121</v>
      </c>
      <c r="C48" s="58" t="s">
        <v>153</v>
      </c>
      <c r="D48" s="39" t="s">
        <v>90</v>
      </c>
      <c r="E48" s="39" t="s">
        <v>17</v>
      </c>
      <c r="F48" s="39"/>
      <c r="G48" s="39"/>
      <c r="H48" s="1"/>
      <c r="I48" s="39"/>
      <c r="J48" s="4"/>
      <c r="K48" s="4"/>
    </row>
    <row r="49" spans="1:11" ht="51" x14ac:dyDescent="0.25">
      <c r="A49" s="22">
        <v>43056</v>
      </c>
      <c r="B49" s="58" t="str">
        <f>HYPERLINK("http://www.huntington.org","The Huntington")</f>
        <v>The Huntington</v>
      </c>
      <c r="C49" s="62" t="str">
        <f>HYPERLINK("http://www.huntington.org/WebAssets/Templates/content.aspx?id=21991","Dibner Program in the History of Science")</f>
        <v>Dibner Program in the History of Science</v>
      </c>
      <c r="D49" s="39" t="s">
        <v>143</v>
      </c>
      <c r="E49" s="39" t="s">
        <v>154</v>
      </c>
      <c r="F49" s="39"/>
      <c r="G49" s="39" t="s">
        <v>155</v>
      </c>
      <c r="H49" s="3" t="s">
        <v>156</v>
      </c>
      <c r="I49" s="39"/>
      <c r="J49" s="2"/>
      <c r="K49" s="2"/>
    </row>
    <row r="50" spans="1:11" ht="38.25" x14ac:dyDescent="0.25">
      <c r="A50" s="22">
        <v>43057</v>
      </c>
      <c r="B50" s="58" t="s">
        <v>157</v>
      </c>
      <c r="C50" s="58" t="str">
        <f>HYPERLINK("https://classicalstudies.org/awards-and-fellowships/awards-scholarships-and-fellowships-offered-us-classics-associations#Grants and Fellowships (2)","Awards, Scholarships, and Fellowships")</f>
        <v>Awards, Scholarships, and Fellowships</v>
      </c>
      <c r="D50" s="39" t="s">
        <v>11</v>
      </c>
      <c r="E50" s="39"/>
      <c r="F50" s="39"/>
      <c r="G50" s="39"/>
      <c r="H50" s="3" t="s">
        <v>158</v>
      </c>
      <c r="I50" s="39"/>
      <c r="J50" s="2"/>
      <c r="K50" s="2"/>
    </row>
    <row r="51" spans="1:11" ht="153" x14ac:dyDescent="0.25">
      <c r="A51" s="22">
        <v>43059</v>
      </c>
      <c r="B51" s="58" t="str">
        <f>HYPERLINK("http://isaw.nyu.edu/","NYU Institute for the Study of the Ancient World")</f>
        <v>NYU Institute for the Study of the Ancient World</v>
      </c>
      <c r="C51" s="58" t="s">
        <v>159</v>
      </c>
      <c r="D51" s="39" t="s">
        <v>143</v>
      </c>
      <c r="E51" s="39" t="s">
        <v>21</v>
      </c>
      <c r="F51" s="39"/>
      <c r="G51" s="50">
        <v>71050</v>
      </c>
      <c r="H51" s="3" t="s">
        <v>160</v>
      </c>
      <c r="I51" s="39"/>
      <c r="J51" s="2"/>
      <c r="K51" s="2"/>
    </row>
    <row r="52" spans="1:11" ht="25.5" x14ac:dyDescent="0.25">
      <c r="A52" s="22">
        <v>43060</v>
      </c>
      <c r="B52" s="58" t="s">
        <v>121</v>
      </c>
      <c r="C52" s="58" t="s">
        <v>161</v>
      </c>
      <c r="D52" s="39" t="s">
        <v>19</v>
      </c>
      <c r="E52" s="39" t="s">
        <v>17</v>
      </c>
      <c r="F52" s="39"/>
      <c r="G52" s="39"/>
      <c r="H52" s="1"/>
      <c r="I52" s="39"/>
      <c r="J52" s="2"/>
      <c r="K52" s="2"/>
    </row>
    <row r="53" spans="1:11" ht="191.25" x14ac:dyDescent="0.25">
      <c r="A53" s="22">
        <v>43066</v>
      </c>
      <c r="B53" s="58" t="s">
        <v>55</v>
      </c>
      <c r="C53" s="60" t="s">
        <v>162</v>
      </c>
      <c r="D53" s="39" t="s">
        <v>11</v>
      </c>
      <c r="E53" s="39" t="s">
        <v>21</v>
      </c>
      <c r="F53" s="39" t="s">
        <v>163</v>
      </c>
      <c r="G53" s="39" t="s">
        <v>164</v>
      </c>
      <c r="H53" s="3" t="s">
        <v>165</v>
      </c>
      <c r="I53" s="39"/>
      <c r="J53" s="2"/>
      <c r="K53" s="2"/>
    </row>
    <row r="54" spans="1:11" ht="216.75" x14ac:dyDescent="0.25">
      <c r="A54" s="22">
        <v>43069</v>
      </c>
      <c r="B54" s="58" t="s">
        <v>14</v>
      </c>
      <c r="C54" s="58" t="str">
        <f>HYPERLINK("http://www.russellsage.org/research/funding/affordable-care-act","The Social, Economic, and Political Effects of the Affordable Care Act")</f>
        <v>The Social, Economic, and Political Effects of the Affordable Care Act</v>
      </c>
      <c r="D54" s="39" t="s">
        <v>111</v>
      </c>
      <c r="E54" s="41" t="s">
        <v>17</v>
      </c>
      <c r="F54" s="39"/>
      <c r="G54" s="39" t="s">
        <v>166</v>
      </c>
      <c r="H54" s="3" t="s">
        <v>167</v>
      </c>
      <c r="I54" s="39"/>
      <c r="J54" s="2"/>
      <c r="K54" s="2"/>
    </row>
    <row r="55" spans="1:11" ht="127.5" x14ac:dyDescent="0.25">
      <c r="A55" s="22">
        <v>43070</v>
      </c>
      <c r="B55" s="58" t="s">
        <v>168</v>
      </c>
      <c r="C55" s="58" t="s">
        <v>169</v>
      </c>
      <c r="D55" s="39" t="s">
        <v>11</v>
      </c>
      <c r="E55" s="39" t="s">
        <v>21</v>
      </c>
      <c r="F55" s="39"/>
      <c r="G55" s="39" t="s">
        <v>170</v>
      </c>
      <c r="H55" s="3" t="s">
        <v>171</v>
      </c>
      <c r="I55" s="39"/>
      <c r="J55" s="2"/>
      <c r="K55" s="2"/>
    </row>
    <row r="56" spans="1:11" ht="38.25" x14ac:dyDescent="0.25">
      <c r="A56" s="22">
        <v>43070</v>
      </c>
      <c r="B56" s="58" t="s">
        <v>172</v>
      </c>
      <c r="C56" s="58" t="s">
        <v>173</v>
      </c>
      <c r="D56" s="39" t="s">
        <v>127</v>
      </c>
      <c r="E56" s="39"/>
      <c r="F56" s="39"/>
      <c r="G56" s="39"/>
      <c r="H56" s="1"/>
      <c r="I56" s="39"/>
      <c r="J56" s="2"/>
      <c r="K56" s="2"/>
    </row>
    <row r="57" spans="1:11" ht="127.5" x14ac:dyDescent="0.25">
      <c r="A57" s="22">
        <v>43070</v>
      </c>
      <c r="B57" s="58" t="s">
        <v>174</v>
      </c>
      <c r="C57" s="58" t="str">
        <f>HYPERLINK("https://www.smithsonianofi.com/fellowship-opportunities/mpala-postdoctoral-fellowship/","Mpala Postdoctoral and Senior Fellowship")</f>
        <v>Mpala Postdoctoral and Senior Fellowship</v>
      </c>
      <c r="D57" s="39" t="s">
        <v>19</v>
      </c>
      <c r="E57" s="39" t="s">
        <v>21</v>
      </c>
      <c r="F57" s="39"/>
      <c r="G57" s="39" t="s">
        <v>175</v>
      </c>
      <c r="H57" s="3" t="s">
        <v>176</v>
      </c>
      <c r="I57" s="39"/>
      <c r="J57" s="2"/>
      <c r="K57" s="2"/>
    </row>
    <row r="58" spans="1:11" ht="229.5" x14ac:dyDescent="0.25">
      <c r="A58" s="22">
        <v>43070</v>
      </c>
      <c r="B58" s="58" t="s">
        <v>177</v>
      </c>
      <c r="C58" s="58" t="s">
        <v>178</v>
      </c>
      <c r="D58" s="39" t="s">
        <v>179</v>
      </c>
      <c r="E58" s="39" t="s">
        <v>21</v>
      </c>
      <c r="F58" s="39"/>
      <c r="G58" s="39" t="s">
        <v>180</v>
      </c>
      <c r="H58" s="3" t="s">
        <v>181</v>
      </c>
      <c r="I58" s="39"/>
      <c r="J58" s="5"/>
      <c r="K58" s="5"/>
    </row>
    <row r="59" spans="1:11" ht="140.25" x14ac:dyDescent="0.25">
      <c r="A59" s="22">
        <v>43070</v>
      </c>
      <c r="B59" s="58" t="s">
        <v>182</v>
      </c>
      <c r="C59" s="58" t="s">
        <v>183</v>
      </c>
      <c r="D59" s="39" t="s">
        <v>111</v>
      </c>
      <c r="E59" s="39" t="s">
        <v>184</v>
      </c>
      <c r="F59" s="39"/>
      <c r="G59" s="39"/>
      <c r="H59" s="3" t="s">
        <v>185</v>
      </c>
      <c r="I59" s="39"/>
      <c r="J59" s="2"/>
      <c r="K59" s="2"/>
    </row>
    <row r="60" spans="1:11" ht="153" x14ac:dyDescent="0.25">
      <c r="A60" s="22">
        <v>43070</v>
      </c>
      <c r="B60" s="58" t="s">
        <v>121</v>
      </c>
      <c r="C60" s="58" t="s">
        <v>186</v>
      </c>
      <c r="D60" s="39" t="s">
        <v>94</v>
      </c>
      <c r="E60" s="39" t="s">
        <v>95</v>
      </c>
      <c r="F60" s="51"/>
      <c r="G60" s="50">
        <v>25000</v>
      </c>
      <c r="H60" s="3" t="s">
        <v>187</v>
      </c>
      <c r="I60" s="39"/>
      <c r="J60" s="2"/>
      <c r="K60" s="2"/>
    </row>
    <row r="61" spans="1:11" ht="140.25" x14ac:dyDescent="0.25">
      <c r="A61" s="22">
        <v>43073</v>
      </c>
      <c r="B61" s="58" t="s">
        <v>188</v>
      </c>
      <c r="C61" s="58" t="s">
        <v>189</v>
      </c>
      <c r="D61" s="39" t="s">
        <v>179</v>
      </c>
      <c r="E61" s="39" t="s">
        <v>190</v>
      </c>
      <c r="F61" s="39"/>
      <c r="G61" s="39" t="s">
        <v>191</v>
      </c>
      <c r="H61" s="3" t="s">
        <v>192</v>
      </c>
      <c r="I61" s="39"/>
      <c r="J61" s="2"/>
      <c r="K61" s="2"/>
    </row>
    <row r="62" spans="1:11" ht="25.5" x14ac:dyDescent="0.25">
      <c r="A62" s="22">
        <v>43075</v>
      </c>
      <c r="B62" s="58" t="s">
        <v>121</v>
      </c>
      <c r="C62" s="58" t="s">
        <v>193</v>
      </c>
      <c r="D62" s="39" t="s">
        <v>111</v>
      </c>
      <c r="E62" s="39" t="s">
        <v>17</v>
      </c>
      <c r="F62" s="39"/>
      <c r="G62" s="39"/>
      <c r="H62" s="1"/>
      <c r="I62" s="39"/>
      <c r="J62" s="2"/>
      <c r="K62" s="2"/>
    </row>
    <row r="63" spans="1:11" ht="114.75" x14ac:dyDescent="0.25">
      <c r="A63" s="22">
        <v>43077</v>
      </c>
      <c r="B63" s="58" t="str">
        <f>HYPERLINK("https://www.onr.navy.mil/en","Office of Naval Research")</f>
        <v>Office of Naval Research</v>
      </c>
      <c r="C63" s="58" t="str">
        <f>HYPERLINK("https://www.onr.navy.mil/en/Education-Outreach/faculty/summer-faculty-research-program","Summer Faculty Research Program")</f>
        <v>Summer Faculty Research Program</v>
      </c>
      <c r="D63" s="39" t="s">
        <v>19</v>
      </c>
      <c r="E63" s="39" t="s">
        <v>17</v>
      </c>
      <c r="F63" s="39"/>
      <c r="G63" s="39"/>
      <c r="H63" s="3" t="s">
        <v>194</v>
      </c>
      <c r="I63" s="39"/>
      <c r="J63" s="2"/>
      <c r="K63" s="2"/>
    </row>
    <row r="64" spans="1:11" ht="38.25" x14ac:dyDescent="0.25">
      <c r="A64" s="22">
        <v>43084</v>
      </c>
      <c r="B64" s="58" t="s">
        <v>195</v>
      </c>
      <c r="C64" s="58" t="s">
        <v>196</v>
      </c>
      <c r="D64" s="39" t="s">
        <v>20</v>
      </c>
      <c r="E64" s="39" t="s">
        <v>17</v>
      </c>
      <c r="F64" s="39"/>
      <c r="G64" s="39"/>
      <c r="H64" s="1"/>
      <c r="I64" s="39"/>
      <c r="J64" s="2"/>
      <c r="K64" s="2"/>
    </row>
    <row r="65" spans="1:11" ht="38.25" x14ac:dyDescent="0.25">
      <c r="A65" s="22">
        <v>43084</v>
      </c>
      <c r="B65" s="58" t="s">
        <v>197</v>
      </c>
      <c r="C65" s="58" t="s">
        <v>198</v>
      </c>
      <c r="D65" s="39" t="s">
        <v>90</v>
      </c>
      <c r="E65" s="39" t="s">
        <v>12</v>
      </c>
      <c r="F65" s="39"/>
      <c r="G65" s="39"/>
      <c r="H65" s="1"/>
      <c r="I65" s="39"/>
      <c r="J65" s="4"/>
      <c r="K65" s="4"/>
    </row>
    <row r="66" spans="1:11" ht="38.25" x14ac:dyDescent="0.25">
      <c r="A66" s="22">
        <v>43084</v>
      </c>
      <c r="B66" s="58" t="s">
        <v>197</v>
      </c>
      <c r="C66" s="58" t="s">
        <v>199</v>
      </c>
      <c r="D66" s="39" t="s">
        <v>179</v>
      </c>
      <c r="E66" s="39" t="s">
        <v>12</v>
      </c>
      <c r="F66" s="39"/>
      <c r="G66" s="39"/>
      <c r="H66" s="1"/>
      <c r="I66" s="39"/>
      <c r="J66" s="2"/>
      <c r="K66" s="2"/>
    </row>
    <row r="67" spans="1:11" ht="38.25" x14ac:dyDescent="0.25">
      <c r="A67" s="22">
        <v>43084</v>
      </c>
      <c r="B67" s="58" t="s">
        <v>200</v>
      </c>
      <c r="C67" s="58" t="s">
        <v>201</v>
      </c>
      <c r="D67" s="39" t="s">
        <v>179</v>
      </c>
      <c r="E67" s="39" t="s">
        <v>12</v>
      </c>
      <c r="F67" s="39"/>
      <c r="G67" s="39"/>
      <c r="H67" s="1"/>
      <c r="I67" s="39"/>
      <c r="J67" s="2"/>
      <c r="K67" s="2"/>
    </row>
    <row r="68" spans="1:11" ht="25.5" x14ac:dyDescent="0.25">
      <c r="A68" s="22">
        <v>43084</v>
      </c>
      <c r="B68" s="58" t="s">
        <v>202</v>
      </c>
      <c r="C68" s="58" t="s">
        <v>203</v>
      </c>
      <c r="D68" s="39" t="s">
        <v>204</v>
      </c>
      <c r="E68" s="39"/>
      <c r="F68" s="39"/>
      <c r="G68" s="39"/>
      <c r="H68" s="1"/>
      <c r="I68" s="39"/>
      <c r="J68" s="2"/>
      <c r="K68" s="2"/>
    </row>
    <row r="69" spans="1:11" ht="38.25" x14ac:dyDescent="0.25">
      <c r="A69" s="22">
        <v>43088</v>
      </c>
      <c r="B69" s="58" t="s">
        <v>121</v>
      </c>
      <c r="C69" s="59" t="s">
        <v>205</v>
      </c>
      <c r="D69" s="39" t="s">
        <v>179</v>
      </c>
      <c r="E69" s="39" t="s">
        <v>17</v>
      </c>
      <c r="F69" s="39"/>
      <c r="G69" s="39"/>
      <c r="H69" s="1"/>
      <c r="I69" s="39"/>
      <c r="J69" s="2"/>
      <c r="K69" s="2"/>
    </row>
    <row r="70" spans="1:11" ht="102" x14ac:dyDescent="0.25">
      <c r="A70" s="22">
        <v>43090</v>
      </c>
      <c r="B70" s="58" t="str">
        <f>HYPERLINK("https://cmes.fas.harvard.edu/","Center for Middle Eastern Studies at Harvard University")</f>
        <v>Center for Middle Eastern Studies at Harvard University</v>
      </c>
      <c r="C70" s="58" t="str">
        <f>HYPERLINK("https://www.google.com/url?q=https://cmes.fas.harvard.edu/vr-program&amp;ust=1512576660000000&amp;usg=AFQjCNGgw_ZqRFEfZZzafmLzHpH50IPElQ&amp;hl=en&amp;source=gmail","Visiting Researcher Program")</f>
        <v>Visiting Researcher Program</v>
      </c>
      <c r="D70" s="39" t="s">
        <v>76</v>
      </c>
      <c r="E70" s="39" t="s">
        <v>21</v>
      </c>
      <c r="F70" s="39"/>
      <c r="G70" s="39" t="s">
        <v>206</v>
      </c>
      <c r="H70" s="3" t="s">
        <v>207</v>
      </c>
      <c r="I70" s="39"/>
      <c r="J70" s="2"/>
      <c r="K70" s="2"/>
    </row>
    <row r="71" spans="1:11" ht="102" x14ac:dyDescent="0.25">
      <c r="A71" s="22">
        <v>43094</v>
      </c>
      <c r="B71" s="58" t="str">
        <f>HYPERLINK("https://ces.fas.harvard.edu/","Center for European Studies Harvard")</f>
        <v>Center for European Studies Harvard</v>
      </c>
      <c r="C71" s="58" t="str">
        <f>HYPERLINK("https://ces.fas.harvard.edu/opportunities/fellows/visiting-scholars","Visiting Scholars and Fellows Program")</f>
        <v>Visiting Scholars and Fellows Program</v>
      </c>
      <c r="D71" s="39" t="s">
        <v>20</v>
      </c>
      <c r="E71" s="39" t="s">
        <v>21</v>
      </c>
      <c r="F71" s="39"/>
      <c r="G71" s="39" t="s">
        <v>206</v>
      </c>
      <c r="H71" s="3" t="s">
        <v>208</v>
      </c>
      <c r="I71" s="39"/>
      <c r="J71" s="2"/>
      <c r="K71" s="2"/>
    </row>
    <row r="72" spans="1:11" ht="127.5" x14ac:dyDescent="0.25">
      <c r="A72" s="22">
        <v>43100</v>
      </c>
      <c r="B72" s="58" t="s">
        <v>209</v>
      </c>
      <c r="C72" s="58" t="s">
        <v>210</v>
      </c>
      <c r="D72" s="39" t="s">
        <v>211</v>
      </c>
      <c r="E72" s="39" t="s">
        <v>12</v>
      </c>
      <c r="F72" s="39" t="s">
        <v>212</v>
      </c>
      <c r="G72" s="39"/>
      <c r="H72" s="3" t="s">
        <v>213</v>
      </c>
      <c r="I72" s="39"/>
      <c r="J72" s="2"/>
      <c r="K72" s="2"/>
    </row>
    <row r="73" spans="1:11" ht="38.25" x14ac:dyDescent="0.25">
      <c r="A73" s="22">
        <v>43100</v>
      </c>
      <c r="B73" s="58" t="s">
        <v>214</v>
      </c>
      <c r="C73" s="58" t="s">
        <v>215</v>
      </c>
      <c r="D73" s="39" t="s">
        <v>179</v>
      </c>
      <c r="E73" s="39" t="s">
        <v>12</v>
      </c>
      <c r="F73" s="39"/>
      <c r="G73" s="39"/>
      <c r="H73" s="1"/>
      <c r="I73" s="39" t="s">
        <v>216</v>
      </c>
      <c r="J73" s="2"/>
      <c r="K73" s="2"/>
    </row>
    <row r="74" spans="1:11" ht="38.25" x14ac:dyDescent="0.25">
      <c r="A74" s="22">
        <v>43100</v>
      </c>
      <c r="B74" s="58" t="s">
        <v>214</v>
      </c>
      <c r="C74" s="58" t="s">
        <v>217</v>
      </c>
      <c r="D74" s="39" t="s">
        <v>179</v>
      </c>
      <c r="E74" s="39" t="s">
        <v>120</v>
      </c>
      <c r="F74" s="39" t="s">
        <v>92</v>
      </c>
      <c r="G74" s="39"/>
      <c r="H74" s="1"/>
      <c r="I74" s="39" t="s">
        <v>216</v>
      </c>
      <c r="J74" s="2"/>
      <c r="K74" s="2"/>
    </row>
    <row r="75" spans="1:11" ht="267.75" x14ac:dyDescent="0.25">
      <c r="A75" s="22">
        <v>43100</v>
      </c>
      <c r="B75" s="58" t="s">
        <v>218</v>
      </c>
      <c r="C75" s="58" t="s">
        <v>219</v>
      </c>
      <c r="D75" s="39" t="s">
        <v>111</v>
      </c>
      <c r="E75" s="39" t="s">
        <v>73</v>
      </c>
      <c r="F75" s="39"/>
      <c r="G75" s="50">
        <v>12500</v>
      </c>
      <c r="H75" s="3" t="s">
        <v>220</v>
      </c>
      <c r="I75" s="39"/>
      <c r="J75" s="2"/>
      <c r="K75" s="2"/>
    </row>
    <row r="76" spans="1:11" ht="191.25" x14ac:dyDescent="0.25">
      <c r="A76" s="22">
        <v>43101</v>
      </c>
      <c r="B76" s="58" t="str">
        <f>HYPERLINK("http://ilsp.law.harvard.edu/","Harvard Law School: Islamic Legal Studies Program:  Law and Social Change")</f>
        <v>Harvard Law School: Islamic Legal Studies Program:  Law and Social Change</v>
      </c>
      <c r="C76" s="58" t="str">
        <f>HYPERLINK("http://ilsp.law.harvard.edu/how-to-apply/","Visiting Fellowship")</f>
        <v>Visiting Fellowship</v>
      </c>
      <c r="D76" s="39" t="s">
        <v>76</v>
      </c>
      <c r="E76" s="39" t="s">
        <v>21</v>
      </c>
      <c r="F76" s="39"/>
      <c r="G76" s="39" t="s">
        <v>221</v>
      </c>
      <c r="H76" s="3" t="s">
        <v>222</v>
      </c>
      <c r="I76" s="39"/>
      <c r="J76" s="2"/>
      <c r="K76" s="2"/>
    </row>
    <row r="77" spans="1:11" ht="51" x14ac:dyDescent="0.25">
      <c r="A77" s="22">
        <v>43101</v>
      </c>
      <c r="B77" s="58" t="str">
        <f>HYPERLINK("https://lebanesestudies.ncsu.edu/","North Carolina State University, Khayrallah Center for Lebanese Diaspora Studies")</f>
        <v>North Carolina State University, Khayrallah Center for Lebanese Diaspora Studies</v>
      </c>
      <c r="C77" s="58" t="str">
        <f>HYPERLINK("https://lebanesestudies.ncsu.edu/awards/VisitingScholar.php","Visiting Scholar Grants")</f>
        <v>Visiting Scholar Grants</v>
      </c>
      <c r="D77" s="39" t="s">
        <v>76</v>
      </c>
      <c r="E77" s="39" t="s">
        <v>21</v>
      </c>
      <c r="F77" s="39"/>
      <c r="G77" s="39" t="s">
        <v>223</v>
      </c>
      <c r="H77" s="3" t="s">
        <v>224</v>
      </c>
      <c r="I77" s="39"/>
      <c r="J77" s="2"/>
      <c r="K77" s="2"/>
    </row>
    <row r="78" spans="1:11" ht="114.75" x14ac:dyDescent="0.25">
      <c r="A78" s="22">
        <v>43101</v>
      </c>
      <c r="B78" s="58" t="s">
        <v>225</v>
      </c>
      <c r="C78" s="58" t="s">
        <v>226</v>
      </c>
      <c r="D78" s="39" t="s">
        <v>227</v>
      </c>
      <c r="E78" s="39" t="s">
        <v>21</v>
      </c>
      <c r="F78" s="39"/>
      <c r="G78" s="39"/>
      <c r="H78" s="3" t="s">
        <v>228</v>
      </c>
      <c r="I78" s="39"/>
      <c r="J78" s="2"/>
      <c r="K78" s="2"/>
    </row>
    <row r="79" spans="1:11" ht="63.75" x14ac:dyDescent="0.25">
      <c r="A79" s="22">
        <v>43103</v>
      </c>
      <c r="B79" s="58" t="str">
        <f>HYPERLINK("http://www.esherick-yefoundation.org/","Esherik-Ye Family Foundation")</f>
        <v>Esherik-Ye Family Foundation</v>
      </c>
      <c r="C79" s="58" t="str">
        <f>HYPERLINK("https://www.google.com/url?q=http://www.esherick-yefoundation.org/grants/application-procedures/&amp;ust=1512575400000000&amp;usg=AFQjCNFAhpd2BN6Gi7paqG3qGgFCyJSzgw&amp;hl=en&amp;source=gmail","Grants")</f>
        <v>Grants</v>
      </c>
      <c r="D79" s="39" t="s">
        <v>127</v>
      </c>
      <c r="E79" s="39" t="s">
        <v>17</v>
      </c>
      <c r="F79" s="39" t="s">
        <v>92</v>
      </c>
      <c r="G79" s="39" t="s">
        <v>229</v>
      </c>
      <c r="H79" s="3" t="s">
        <v>230</v>
      </c>
      <c r="I79" s="39"/>
      <c r="J79" s="2"/>
      <c r="K79" s="2"/>
    </row>
    <row r="80" spans="1:11" ht="153" x14ac:dyDescent="0.25">
      <c r="A80" s="22">
        <v>43104</v>
      </c>
      <c r="B80" s="58" t="s">
        <v>231</v>
      </c>
      <c r="C80" s="58" t="s">
        <v>232</v>
      </c>
      <c r="D80" s="39" t="s">
        <v>179</v>
      </c>
      <c r="E80" s="39" t="s">
        <v>17</v>
      </c>
      <c r="F80" s="40"/>
      <c r="G80" s="39"/>
      <c r="H80" s="3" t="s">
        <v>233</v>
      </c>
      <c r="I80" s="40">
        <v>43059</v>
      </c>
      <c r="J80" s="2"/>
      <c r="K80" s="2"/>
    </row>
    <row r="81" spans="1:11" ht="89.25" x14ac:dyDescent="0.25">
      <c r="A81" s="22">
        <v>43105</v>
      </c>
      <c r="B81" s="58" t="str">
        <f>HYPERLINK("https://www.rusaupdate.org/","American Library Association Reference and User Services Association (RUSA)")</f>
        <v>American Library Association Reference and User Services Association (RUSA)</v>
      </c>
      <c r="C81" s="58" t="s">
        <v>234</v>
      </c>
      <c r="D81" s="39" t="s">
        <v>235</v>
      </c>
      <c r="E81" s="39" t="s">
        <v>236</v>
      </c>
      <c r="F81" s="40"/>
      <c r="G81" s="39"/>
      <c r="H81" s="1" t="s">
        <v>237</v>
      </c>
      <c r="I81" s="40">
        <v>43073</v>
      </c>
      <c r="J81" s="2"/>
      <c r="K81" s="2"/>
    </row>
    <row r="82" spans="1:11" ht="216.75" x14ac:dyDescent="0.25">
      <c r="A82" s="22">
        <v>43105</v>
      </c>
      <c r="B82" s="58" t="s">
        <v>238</v>
      </c>
      <c r="C82" s="58" t="s">
        <v>239</v>
      </c>
      <c r="D82" s="39" t="s">
        <v>179</v>
      </c>
      <c r="E82" s="39" t="s">
        <v>21</v>
      </c>
      <c r="F82" s="39"/>
      <c r="G82" s="39" t="s">
        <v>240</v>
      </c>
      <c r="H82" s="3" t="s">
        <v>241</v>
      </c>
      <c r="I82" s="39" t="s">
        <v>216</v>
      </c>
      <c r="J82" s="2"/>
      <c r="K82" s="2"/>
    </row>
    <row r="83" spans="1:11" ht="306" x14ac:dyDescent="0.25">
      <c r="A83" s="22">
        <v>43107</v>
      </c>
      <c r="B83" s="58" t="s">
        <v>242</v>
      </c>
      <c r="C83" s="58" t="s">
        <v>243</v>
      </c>
      <c r="D83" s="39" t="s">
        <v>143</v>
      </c>
      <c r="E83" s="39" t="s">
        <v>12</v>
      </c>
      <c r="F83" s="40"/>
      <c r="G83" s="39"/>
      <c r="H83" s="3" t="s">
        <v>244</v>
      </c>
      <c r="I83" s="40">
        <v>43059</v>
      </c>
      <c r="J83" s="2"/>
      <c r="K83" s="2"/>
    </row>
    <row r="84" spans="1:11" ht="127.5" x14ac:dyDescent="0.25">
      <c r="A84" s="22">
        <v>43107</v>
      </c>
      <c r="B84" s="58" t="str">
        <f>HYPERLINK("https://www.niehs.nih.gov/index.cfm","National Institutes of Health, National Institute for Environmental Health Science")</f>
        <v>National Institutes of Health, National Institute for Environmental Health Science</v>
      </c>
      <c r="C84" s="58" t="str">
        <f>HYPERLINK("https://grants.nih.gov/grants/guide/pa-files/PA-16-310.html","Individual Fellowships for Senior Fellows (F33)")</f>
        <v>Individual Fellowships for Senior Fellows (F33)</v>
      </c>
      <c r="D84" s="39" t="s">
        <v>245</v>
      </c>
      <c r="E84" s="39" t="s">
        <v>42</v>
      </c>
      <c r="F84" s="39" t="s">
        <v>246</v>
      </c>
      <c r="G84" s="39"/>
      <c r="H84" s="3" t="s">
        <v>247</v>
      </c>
      <c r="I84" s="39" t="s">
        <v>45</v>
      </c>
      <c r="J84" s="2"/>
      <c r="K84" s="2"/>
    </row>
    <row r="85" spans="1:11" ht="25.5" x14ac:dyDescent="0.25">
      <c r="A85" s="22">
        <v>43108</v>
      </c>
      <c r="B85" s="58" t="str">
        <f>HYPERLINK("https://www.nih.gov/","National Institutes of Health ")</f>
        <v xml:space="preserve">National Institutes of Health </v>
      </c>
      <c r="C85" s="58" t="s">
        <v>18</v>
      </c>
      <c r="D85" s="39" t="s">
        <v>19</v>
      </c>
      <c r="E85" s="39" t="s">
        <v>17</v>
      </c>
      <c r="F85" s="39"/>
      <c r="G85" s="39" t="s">
        <v>248</v>
      </c>
      <c r="H85" s="1" t="s">
        <v>13</v>
      </c>
      <c r="I85" s="39"/>
      <c r="J85" s="2"/>
      <c r="K85" s="2"/>
    </row>
    <row r="86" spans="1:11" ht="216.75" x14ac:dyDescent="0.25">
      <c r="A86" s="22">
        <v>43108</v>
      </c>
      <c r="B86" s="58" t="s">
        <v>188</v>
      </c>
      <c r="C86" s="58" t="s">
        <v>249</v>
      </c>
      <c r="D86" s="39" t="s">
        <v>179</v>
      </c>
      <c r="E86" s="39" t="s">
        <v>12</v>
      </c>
      <c r="F86" s="40"/>
      <c r="G86" s="39"/>
      <c r="H86" s="3" t="s">
        <v>250</v>
      </c>
      <c r="I86" s="40">
        <v>43059</v>
      </c>
      <c r="J86" s="2"/>
      <c r="K86" s="2"/>
    </row>
    <row r="87" spans="1:11" ht="89.25" x14ac:dyDescent="0.25">
      <c r="A87" s="22">
        <v>43111</v>
      </c>
      <c r="B87" s="58" t="s">
        <v>251</v>
      </c>
      <c r="C87" s="58" t="s">
        <v>252</v>
      </c>
      <c r="D87" s="39" t="s">
        <v>253</v>
      </c>
      <c r="E87" s="39" t="s">
        <v>254</v>
      </c>
      <c r="F87" s="40"/>
      <c r="G87" s="39" t="s">
        <v>255</v>
      </c>
      <c r="H87" s="3" t="s">
        <v>256</v>
      </c>
      <c r="I87" s="40">
        <v>43059</v>
      </c>
      <c r="J87" s="2"/>
      <c r="K87" s="2"/>
    </row>
    <row r="88" spans="1:11" ht="38.25" x14ac:dyDescent="0.25">
      <c r="A88" s="22">
        <v>43111</v>
      </c>
      <c r="B88" s="58" t="str">
        <f>HYPERLINK("https://www.arts.gov/","National Endowment for the Arts")</f>
        <v>National Endowment for the Arts</v>
      </c>
      <c r="C88" s="58" t="s">
        <v>257</v>
      </c>
      <c r="D88" s="39" t="s">
        <v>149</v>
      </c>
      <c r="E88" s="39" t="s">
        <v>258</v>
      </c>
      <c r="F88" s="40"/>
      <c r="G88" s="39"/>
      <c r="H88" s="1"/>
      <c r="I88" s="40">
        <v>43059</v>
      </c>
      <c r="J88" s="2"/>
      <c r="K88" s="2"/>
    </row>
    <row r="89" spans="1:11" ht="25.5" x14ac:dyDescent="0.25">
      <c r="A89" s="22">
        <v>43111</v>
      </c>
      <c r="B89" s="58" t="str">
        <f>HYPERLINK("https://www.nsf.gov/","National Science Foundation")</f>
        <v>National Science Foundation</v>
      </c>
      <c r="C89" s="58" t="s">
        <v>259</v>
      </c>
      <c r="D89" s="39" t="s">
        <v>19</v>
      </c>
      <c r="E89" s="39" t="s">
        <v>260</v>
      </c>
      <c r="F89" s="39"/>
      <c r="G89" s="39"/>
      <c r="H89" s="1" t="s">
        <v>261</v>
      </c>
      <c r="I89" s="39"/>
      <c r="J89" s="2"/>
      <c r="K89" s="2"/>
    </row>
    <row r="90" spans="1:11" ht="280.5" x14ac:dyDescent="0.25">
      <c r="A90" s="22">
        <v>43112</v>
      </c>
      <c r="B90" s="58" t="s">
        <v>121</v>
      </c>
      <c r="C90" s="58" t="s">
        <v>262</v>
      </c>
      <c r="D90" s="39" t="s">
        <v>19</v>
      </c>
      <c r="E90" s="39" t="s">
        <v>17</v>
      </c>
      <c r="F90" s="39"/>
      <c r="G90" s="39"/>
      <c r="H90" s="3" t="s">
        <v>263</v>
      </c>
      <c r="I90" s="39"/>
      <c r="J90" s="2"/>
      <c r="K90" s="2"/>
    </row>
    <row r="91" spans="1:11" ht="255" x14ac:dyDescent="0.25">
      <c r="A91" s="22">
        <v>43113</v>
      </c>
      <c r="B91" s="58" t="s">
        <v>264</v>
      </c>
      <c r="C91" s="58" t="s">
        <v>265</v>
      </c>
      <c r="D91" s="39" t="s">
        <v>143</v>
      </c>
      <c r="E91" s="39" t="s">
        <v>21</v>
      </c>
      <c r="F91" s="39"/>
      <c r="G91" s="50">
        <v>3600</v>
      </c>
      <c r="H91" s="3" t="s">
        <v>266</v>
      </c>
      <c r="I91" s="39"/>
      <c r="J91" s="2"/>
      <c r="K91" s="2"/>
    </row>
    <row r="92" spans="1:11" ht="153" x14ac:dyDescent="0.25">
      <c r="A92" s="22">
        <v>43115</v>
      </c>
      <c r="B92" s="58" t="s">
        <v>267</v>
      </c>
      <c r="C92" s="58" t="s">
        <v>268</v>
      </c>
      <c r="D92" s="39" t="s">
        <v>66</v>
      </c>
      <c r="E92" s="39" t="s">
        <v>269</v>
      </c>
      <c r="F92" s="40"/>
      <c r="G92" s="39"/>
      <c r="H92" s="3" t="s">
        <v>270</v>
      </c>
      <c r="I92" s="39" t="s">
        <v>271</v>
      </c>
      <c r="J92" s="2"/>
      <c r="K92" s="2"/>
    </row>
    <row r="93" spans="1:11" ht="204" x14ac:dyDescent="0.25">
      <c r="A93" s="22">
        <v>43115</v>
      </c>
      <c r="B93" s="58" t="s">
        <v>267</v>
      </c>
      <c r="C93" s="58" t="str">
        <f>HYPERLINK("http://www.kressfoundation.org/grants/default.aspx?id=138","Conservation Grant Program")</f>
        <v>Conservation Grant Program</v>
      </c>
      <c r="D93" s="39" t="s">
        <v>66</v>
      </c>
      <c r="E93" s="39" t="s">
        <v>272</v>
      </c>
      <c r="F93" s="39"/>
      <c r="G93" s="39"/>
      <c r="H93" s="3" t="s">
        <v>273</v>
      </c>
      <c r="I93" s="39"/>
      <c r="J93" s="2"/>
      <c r="K93" s="2"/>
    </row>
    <row r="94" spans="1:11" ht="255" x14ac:dyDescent="0.25">
      <c r="A94" s="22">
        <v>43115</v>
      </c>
      <c r="B94" s="58" t="s">
        <v>141</v>
      </c>
      <c r="C94" s="58" t="s">
        <v>274</v>
      </c>
      <c r="D94" s="39" t="s">
        <v>253</v>
      </c>
      <c r="E94" s="39" t="s">
        <v>254</v>
      </c>
      <c r="F94" s="40"/>
      <c r="G94" s="50">
        <v>1000</v>
      </c>
      <c r="H94" s="3" t="s">
        <v>275</v>
      </c>
      <c r="I94" s="40">
        <v>43073</v>
      </c>
      <c r="J94" s="5"/>
      <c r="K94" s="5"/>
    </row>
    <row r="95" spans="1:11" ht="76.5" x14ac:dyDescent="0.25">
      <c r="A95" s="22">
        <v>43115</v>
      </c>
      <c r="B95" s="58" t="str">
        <f>HYPERLINK("https://www.brown.edu/academics/libraries/john-carter-brown/","John Carter Brown Library at Brown University")</f>
        <v>John Carter Brown Library at Brown University</v>
      </c>
      <c r="C95" s="58" t="s">
        <v>276</v>
      </c>
      <c r="D95" s="39" t="s">
        <v>143</v>
      </c>
      <c r="E95" s="39" t="s">
        <v>21</v>
      </c>
      <c r="F95" s="39"/>
      <c r="G95" s="39" t="s">
        <v>277</v>
      </c>
      <c r="H95" s="3" t="s">
        <v>278</v>
      </c>
      <c r="I95" s="39"/>
      <c r="J95" s="2"/>
      <c r="K95" s="2"/>
    </row>
    <row r="96" spans="1:11" ht="102" x14ac:dyDescent="0.25">
      <c r="A96" s="22">
        <v>43115</v>
      </c>
      <c r="B96" s="58" t="s">
        <v>174</v>
      </c>
      <c r="C96" s="58" t="str">
        <f>HYPERLINK("https://www.smithsonianofi.com/the-margaret-henry-dabney-penick-resident-scholar-program/","Margaret Henry Dabney Penick Resident Scholar Program")</f>
        <v>Margaret Henry Dabney Penick Resident Scholar Program</v>
      </c>
      <c r="D96" s="39" t="s">
        <v>143</v>
      </c>
      <c r="E96" s="39" t="s">
        <v>21</v>
      </c>
      <c r="F96" s="39"/>
      <c r="G96" s="50" t="s">
        <v>279</v>
      </c>
      <c r="H96" s="3" t="s">
        <v>280</v>
      </c>
      <c r="I96" s="39"/>
      <c r="J96" s="2"/>
      <c r="K96" s="2"/>
    </row>
    <row r="97" spans="1:11" ht="127.5" x14ac:dyDescent="0.25">
      <c r="A97" s="23">
        <v>43115</v>
      </c>
      <c r="B97" s="58" t="s">
        <v>281</v>
      </c>
      <c r="C97" s="58" t="s">
        <v>282</v>
      </c>
      <c r="D97" s="41" t="s">
        <v>283</v>
      </c>
      <c r="E97" s="41" t="s">
        <v>21</v>
      </c>
      <c r="F97" s="41"/>
      <c r="G97" s="39" t="s">
        <v>284</v>
      </c>
      <c r="H97" s="3" t="s">
        <v>285</v>
      </c>
      <c r="I97" s="41"/>
      <c r="J97" s="2"/>
      <c r="K97" s="2"/>
    </row>
    <row r="98" spans="1:11" ht="63.75" x14ac:dyDescent="0.25">
      <c r="A98" s="22">
        <v>43115</v>
      </c>
      <c r="B98" s="58" t="str">
        <f>HYPERLINK("http://www.macdowellcolony.org/","The MacDowell Colony")</f>
        <v>The MacDowell Colony</v>
      </c>
      <c r="C98" s="58" t="str">
        <f>HYPERLINK("http://www.macdowellcolony.org/apply","Residencies")</f>
        <v>Residencies</v>
      </c>
      <c r="D98" s="39" t="s">
        <v>286</v>
      </c>
      <c r="E98" s="39" t="s">
        <v>21</v>
      </c>
      <c r="F98" s="39"/>
      <c r="G98" s="39"/>
      <c r="H98" s="3" t="s">
        <v>287</v>
      </c>
      <c r="I98" s="39"/>
      <c r="J98" s="2"/>
      <c r="K98" s="2"/>
    </row>
    <row r="99" spans="1:11" ht="204" x14ac:dyDescent="0.25">
      <c r="A99" s="22">
        <v>43115</v>
      </c>
      <c r="B99" s="58" t="str">
        <f>HYPERLINK("http://www.ascsa.edu.gr/","American School of Classical Studies at Athens")</f>
        <v>American School of Classical Studies at Athens</v>
      </c>
      <c r="C99" s="58" t="str">
        <f>HYPERLINK("http://www.ascsa.edu.gr/index.php/admission-membership/post-doctoral-and-senior-scholars","WIENER LABORATORY PROGRAMMATIC POST-DOCTORAL RESEARCH FELLOWSHIP 2018-2021)")</f>
        <v>WIENER LABORATORY PROGRAMMATIC POST-DOCTORAL RESEARCH FELLOWSHIP 2018-2021)</v>
      </c>
      <c r="D99" s="39" t="s">
        <v>81</v>
      </c>
      <c r="E99" s="39" t="s">
        <v>21</v>
      </c>
      <c r="F99" s="39" t="s">
        <v>288</v>
      </c>
      <c r="G99" s="50" t="s">
        <v>289</v>
      </c>
      <c r="H99" s="3" t="s">
        <v>290</v>
      </c>
      <c r="I99" s="39"/>
      <c r="J99" s="2"/>
      <c r="K99" s="2"/>
    </row>
    <row r="100" spans="1:11" ht="140.25" x14ac:dyDescent="0.25">
      <c r="A100" s="22">
        <v>43115</v>
      </c>
      <c r="B100" s="58" t="s">
        <v>291</v>
      </c>
      <c r="C100" s="58" t="str">
        <f>HYPERLINK("http://www.huri.harvard.edu/fellowships-grants-internships/jacyk-fellowship/about-jacyk-fellowship.html","Petro Jacyk Distinguished Fellowship")</f>
        <v>Petro Jacyk Distinguished Fellowship</v>
      </c>
      <c r="D100" s="39" t="s">
        <v>292</v>
      </c>
      <c r="E100" s="39" t="s">
        <v>21</v>
      </c>
      <c r="F100" s="40"/>
      <c r="G100" s="39" t="s">
        <v>293</v>
      </c>
      <c r="H100" s="3" t="s">
        <v>294</v>
      </c>
      <c r="I100" s="40">
        <v>43073</v>
      </c>
      <c r="J100" s="2"/>
      <c r="K100" s="2"/>
    </row>
    <row r="101" spans="1:11" ht="102" x14ac:dyDescent="0.25">
      <c r="A101" s="22">
        <v>43115</v>
      </c>
      <c r="B101" s="58" t="str">
        <f>HYPERLINK("http://www.huri.harvard.edu/","Harvard University Ukrainian Research Institute ")</f>
        <v xml:space="preserve">Harvard University Ukrainian Research Institute </v>
      </c>
      <c r="C101" s="58" t="s">
        <v>295</v>
      </c>
      <c r="D101" s="39" t="s">
        <v>292</v>
      </c>
      <c r="E101" s="39" t="s">
        <v>21</v>
      </c>
      <c r="F101" s="39" t="s">
        <v>296</v>
      </c>
      <c r="G101" s="39" t="s">
        <v>297</v>
      </c>
      <c r="H101" s="3" t="s">
        <v>298</v>
      </c>
      <c r="I101" s="40">
        <v>43073</v>
      </c>
      <c r="J101" s="2"/>
      <c r="K101" s="2"/>
    </row>
    <row r="102" spans="1:11" ht="76.5" x14ac:dyDescent="0.25">
      <c r="A102" s="22">
        <v>43115</v>
      </c>
      <c r="B102" s="58" t="str">
        <f>HYPERLINK("https://www.societyforfrenchhistoricalstudies.net/","Society for French Historical Studies ")</f>
        <v xml:space="preserve">Society for French Historical Studies </v>
      </c>
      <c r="C102" s="58" t="str">
        <f>HYPERLINK("https://www.societyforfrenchhistoricalstudies.net/institut-fund","Research Fellowship")</f>
        <v>Research Fellowship</v>
      </c>
      <c r="D102" s="39" t="s">
        <v>20</v>
      </c>
      <c r="E102" s="39" t="s">
        <v>91</v>
      </c>
      <c r="F102" s="39" t="s">
        <v>299</v>
      </c>
      <c r="G102" s="39" t="s">
        <v>300</v>
      </c>
      <c r="H102" s="3" t="s">
        <v>301</v>
      </c>
      <c r="I102" s="39"/>
      <c r="J102" s="2"/>
      <c r="K102" s="2"/>
    </row>
    <row r="103" spans="1:11" ht="102" x14ac:dyDescent="0.25">
      <c r="A103" s="24">
        <v>43115</v>
      </c>
      <c r="B103" s="58" t="str">
        <f>HYPERLINK("http://archive.arce.org/grants/fellowships","American Research Center in Egypt")</f>
        <v>American Research Center in Egypt</v>
      </c>
      <c r="C103" s="58" t="str">
        <f>HYPERLINK("http://archive.arce.org/grants/fellowships/funded","Fellowship")</f>
        <v>Fellowship</v>
      </c>
      <c r="D103" s="39" t="s">
        <v>76</v>
      </c>
      <c r="E103" s="39" t="s">
        <v>21</v>
      </c>
      <c r="F103" s="39"/>
      <c r="G103" s="39" t="s">
        <v>302</v>
      </c>
      <c r="H103" s="3" t="s">
        <v>303</v>
      </c>
      <c r="I103" s="39"/>
      <c r="J103" s="2"/>
      <c r="K103" s="2"/>
    </row>
    <row r="104" spans="1:11" ht="204" x14ac:dyDescent="0.25">
      <c r="A104" s="22">
        <v>43115</v>
      </c>
      <c r="B104" s="58" t="s">
        <v>304</v>
      </c>
      <c r="C104" s="58" t="s">
        <v>305</v>
      </c>
      <c r="D104" s="39" t="s">
        <v>47</v>
      </c>
      <c r="E104" s="39" t="s">
        <v>21</v>
      </c>
      <c r="F104" s="40"/>
      <c r="G104" s="39"/>
      <c r="H104" s="3" t="s">
        <v>306</v>
      </c>
      <c r="I104" s="40">
        <v>43073</v>
      </c>
      <c r="J104" s="2"/>
      <c r="K104" s="2"/>
    </row>
    <row r="105" spans="1:11" ht="191.25" x14ac:dyDescent="0.25">
      <c r="A105" s="22">
        <v>43115</v>
      </c>
      <c r="B105" s="58" t="s">
        <v>307</v>
      </c>
      <c r="C105" s="58" t="s">
        <v>308</v>
      </c>
      <c r="D105" s="39" t="s">
        <v>47</v>
      </c>
      <c r="E105" s="39" t="s">
        <v>309</v>
      </c>
      <c r="F105" s="40"/>
      <c r="G105" s="39"/>
      <c r="H105" s="3" t="s">
        <v>310</v>
      </c>
      <c r="I105" s="40">
        <v>43059</v>
      </c>
      <c r="J105" s="2"/>
      <c r="K105" s="2"/>
    </row>
    <row r="106" spans="1:11" ht="38.25" x14ac:dyDescent="0.25">
      <c r="A106" s="22">
        <v>43115</v>
      </c>
      <c r="B106" s="58" t="str">
        <f>HYPERLINK("https://www.archaeological.org/","Archeological Institute of America")</f>
        <v>Archeological Institute of America</v>
      </c>
      <c r="C106" s="63" t="str">
        <f>HYPERLINK("https://www.archaeological.org/grants/703","Anna C. &amp; Oliver C. Colburn Fellowships")</f>
        <v>Anna C. &amp; Oliver C. Colburn Fellowships</v>
      </c>
      <c r="D106" s="39" t="s">
        <v>94</v>
      </c>
      <c r="E106" s="39" t="s">
        <v>91</v>
      </c>
      <c r="F106" s="39" t="s">
        <v>311</v>
      </c>
      <c r="G106" s="50">
        <v>5500</v>
      </c>
      <c r="H106" s="3" t="s">
        <v>312</v>
      </c>
      <c r="I106" s="39"/>
      <c r="J106" s="2"/>
      <c r="K106" s="2"/>
    </row>
    <row r="107" spans="1:11" ht="191.25" x14ac:dyDescent="0.25">
      <c r="A107" s="22">
        <v>43116</v>
      </c>
      <c r="B107" s="58" t="str">
        <f>HYPERLINK("https://www.nsf.gov/","National Science Foundation")</f>
        <v>National Science Foundation</v>
      </c>
      <c r="C107" s="58" t="str">
        <f>HYPERLINK("https://www.nsf.gov/funding/pgm_summ.jsp?pims_id=5265&amp;WT.mc_id=USNSF_39&amp;WT.mc_ev=click","Research on the Science and Technology Enterprise:  Statistics and Surveys")</f>
        <v>Research on the Science and Technology Enterprise:  Statistics and Surveys</v>
      </c>
      <c r="D107" s="39" t="s">
        <v>19</v>
      </c>
      <c r="E107" s="39" t="s">
        <v>17</v>
      </c>
      <c r="F107" s="39"/>
      <c r="G107" s="39"/>
      <c r="H107" s="3" t="s">
        <v>313</v>
      </c>
      <c r="I107" s="40">
        <v>43088</v>
      </c>
      <c r="J107" s="2"/>
      <c r="K107" s="2"/>
    </row>
    <row r="108" spans="1:11" ht="102.75" x14ac:dyDescent="0.25">
      <c r="A108" s="22">
        <v>43116</v>
      </c>
      <c r="B108" s="58" t="s">
        <v>314</v>
      </c>
      <c r="C108" s="58" t="s">
        <v>315</v>
      </c>
      <c r="D108" s="39" t="s">
        <v>111</v>
      </c>
      <c r="E108" s="39" t="s">
        <v>73</v>
      </c>
      <c r="F108" s="39" t="s">
        <v>92</v>
      </c>
      <c r="G108" s="39" t="s">
        <v>316</v>
      </c>
      <c r="H108" s="6" t="s">
        <v>317</v>
      </c>
      <c r="I108" s="39"/>
      <c r="J108" s="2"/>
      <c r="K108" s="2"/>
    </row>
    <row r="109" spans="1:11" ht="25.5" x14ac:dyDescent="0.25">
      <c r="A109" s="22">
        <v>43116</v>
      </c>
      <c r="B109" s="58" t="str">
        <f>HYPERLINK("https://www.nsf.gov/","National Science Foundation")</f>
        <v>National Science Foundation</v>
      </c>
      <c r="C109" s="58" t="s">
        <v>318</v>
      </c>
      <c r="D109" s="39" t="s">
        <v>111</v>
      </c>
      <c r="E109" s="39" t="s">
        <v>132</v>
      </c>
      <c r="F109" s="39"/>
      <c r="G109" s="39"/>
      <c r="H109" s="1" t="s">
        <v>319</v>
      </c>
      <c r="I109" s="39" t="s">
        <v>320</v>
      </c>
      <c r="J109" s="2"/>
      <c r="K109" s="2"/>
    </row>
    <row r="110" spans="1:11" ht="89.25" x14ac:dyDescent="0.25">
      <c r="A110" s="22">
        <v>43117</v>
      </c>
      <c r="B110" s="58" t="str">
        <f>HYPERLINK("http://hutchinscenter.fas.harvard.edu/","W.E.B. Du Bois Research Institute at the Hutchinson Center")</f>
        <v>W.E.B. Du Bois Research Institute at the Hutchinson Center</v>
      </c>
      <c r="C110" s="58" t="str">
        <f>HYPERLINK("http://hutchinscenter.fas.harvard.edu/fellows-program","Du Bois Research Institute Fellowship")</f>
        <v>Du Bois Research Institute Fellowship</v>
      </c>
      <c r="D110" s="39" t="s">
        <v>321</v>
      </c>
      <c r="E110" s="39" t="s">
        <v>21</v>
      </c>
      <c r="F110" s="39"/>
      <c r="G110" s="39" t="s">
        <v>322</v>
      </c>
      <c r="H110" s="3" t="s">
        <v>323</v>
      </c>
      <c r="I110" s="39"/>
      <c r="J110" s="2"/>
      <c r="K110" s="2"/>
    </row>
    <row r="111" spans="1:11" ht="140.25" x14ac:dyDescent="0.25">
      <c r="A111" s="22">
        <v>43117</v>
      </c>
      <c r="B111" s="58" t="str">
        <f>HYPERLINK("https://www.nsf.gov/","National Science Foundation")</f>
        <v>National Science Foundation</v>
      </c>
      <c r="C111" s="58" t="s">
        <v>324</v>
      </c>
      <c r="D111" s="39" t="s">
        <v>179</v>
      </c>
      <c r="E111" s="39" t="s">
        <v>17</v>
      </c>
      <c r="F111" s="39"/>
      <c r="G111" s="39"/>
      <c r="H111" s="3" t="s">
        <v>325</v>
      </c>
      <c r="I111" s="40">
        <v>43088</v>
      </c>
      <c r="J111" s="2"/>
      <c r="K111" s="2"/>
    </row>
    <row r="112" spans="1:11" ht="102" x14ac:dyDescent="0.25">
      <c r="A112" s="22">
        <v>43117</v>
      </c>
      <c r="B112" s="58" t="s">
        <v>326</v>
      </c>
      <c r="C112" s="58" t="s">
        <v>327</v>
      </c>
      <c r="D112" s="39" t="s">
        <v>328</v>
      </c>
      <c r="E112" s="39" t="s">
        <v>12</v>
      </c>
      <c r="F112" s="39"/>
      <c r="G112" s="39"/>
      <c r="H112" s="3" t="s">
        <v>329</v>
      </c>
      <c r="I112" s="40">
        <v>43088</v>
      </c>
      <c r="J112" s="2"/>
      <c r="K112" s="2"/>
    </row>
    <row r="113" spans="1:11" ht="63.75" x14ac:dyDescent="0.25">
      <c r="A113" s="22">
        <v>43118</v>
      </c>
      <c r="B113" s="58" t="str">
        <f>HYPERLINK("http://parc-us-pal.org/","Palestine American Research Center and the National Endowment for the Humanities")</f>
        <v>Palestine American Research Center and the National Endowment for the Humanities</v>
      </c>
      <c r="C113" s="58" t="str">
        <f>HYPERLINK("http://parc-us-pal.org/fellowship.htm","Fellowship for U.S. Scholars Conducting Field-Based Research on Palestine")</f>
        <v>Fellowship for U.S. Scholars Conducting Field-Based Research on Palestine</v>
      </c>
      <c r="D113" s="39" t="s">
        <v>76</v>
      </c>
      <c r="E113" s="39" t="s">
        <v>91</v>
      </c>
      <c r="F113" s="39"/>
      <c r="G113" s="39" t="s">
        <v>330</v>
      </c>
      <c r="H113" s="3" t="s">
        <v>331</v>
      </c>
      <c r="I113" s="39"/>
      <c r="J113" s="2"/>
      <c r="K113" s="2"/>
    </row>
    <row r="114" spans="1:11" ht="204" x14ac:dyDescent="0.25">
      <c r="A114" s="22">
        <v>43121</v>
      </c>
      <c r="B114" s="58" t="s">
        <v>332</v>
      </c>
      <c r="C114" s="58" t="str">
        <f>HYPERLINK("http://amvoices.org/ama/","American Music Abroad Program")</f>
        <v>American Music Abroad Program</v>
      </c>
      <c r="D114" s="39" t="s">
        <v>333</v>
      </c>
      <c r="E114" s="39" t="s">
        <v>334</v>
      </c>
      <c r="F114" s="39"/>
      <c r="G114" s="39" t="s">
        <v>335</v>
      </c>
      <c r="H114" s="3" t="s">
        <v>336</v>
      </c>
      <c r="I114" s="39"/>
      <c r="J114" s="2"/>
      <c r="K114" s="2"/>
    </row>
    <row r="115" spans="1:11" ht="178.5" x14ac:dyDescent="0.25">
      <c r="A115" s="22">
        <v>43126</v>
      </c>
      <c r="B115" s="58" t="s">
        <v>337</v>
      </c>
      <c r="C115" s="58" t="s">
        <v>338</v>
      </c>
      <c r="D115" s="39" t="s">
        <v>339</v>
      </c>
      <c r="E115" s="39" t="s">
        <v>21</v>
      </c>
      <c r="F115" s="39"/>
      <c r="G115" s="39" t="s">
        <v>277</v>
      </c>
      <c r="H115" s="3" t="s">
        <v>340</v>
      </c>
      <c r="I115" s="39" t="s">
        <v>341</v>
      </c>
      <c r="J115" s="2"/>
      <c r="K115" s="2"/>
    </row>
    <row r="116" spans="1:11" x14ac:dyDescent="0.25">
      <c r="A116" s="22">
        <v>43129</v>
      </c>
      <c r="B116" s="58" t="str">
        <f>HYPERLINK("https://www.nsf.gov/","National Science Foundation")</f>
        <v>National Science Foundation</v>
      </c>
      <c r="C116" s="58" t="s">
        <v>342</v>
      </c>
      <c r="D116" s="39" t="s">
        <v>111</v>
      </c>
      <c r="E116" s="39" t="s">
        <v>17</v>
      </c>
      <c r="F116" s="39"/>
      <c r="G116" s="39"/>
      <c r="H116" s="1" t="s">
        <v>343</v>
      </c>
      <c r="I116" s="39"/>
      <c r="J116" s="2"/>
      <c r="K116" s="2"/>
    </row>
    <row r="117" spans="1:11" ht="165.75" x14ac:dyDescent="0.25">
      <c r="A117" s="22">
        <v>43131</v>
      </c>
      <c r="B117" s="58" t="s">
        <v>344</v>
      </c>
      <c r="C117" s="58" t="str">
        <f>HYPERLINK("https://www.caorc.org/fellowships","National Endowment for the Humanities Senior Research Fellowship Program")</f>
        <v>National Endowment for the Humanities Senior Research Fellowship Program</v>
      </c>
      <c r="D117" s="39" t="s">
        <v>345</v>
      </c>
      <c r="E117" s="39" t="s">
        <v>21</v>
      </c>
      <c r="F117" s="39" t="s">
        <v>346</v>
      </c>
      <c r="G117" s="39"/>
      <c r="H117" s="3" t="s">
        <v>347</v>
      </c>
      <c r="I117" s="39"/>
      <c r="J117" s="2"/>
      <c r="K117" s="2"/>
    </row>
    <row r="118" spans="1:11" ht="140.25" x14ac:dyDescent="0.25">
      <c r="A118" s="22">
        <v>43131</v>
      </c>
      <c r="B118" s="58" t="s">
        <v>344</v>
      </c>
      <c r="C118" s="58" t="str">
        <f>HYPERLINK("https://www.caorc.org/fellowships","Multi-country Research Fellowship Program")</f>
        <v>Multi-country Research Fellowship Program</v>
      </c>
      <c r="D118" s="39" t="s">
        <v>345</v>
      </c>
      <c r="E118" s="39" t="s">
        <v>348</v>
      </c>
      <c r="F118" s="39"/>
      <c r="G118" s="39" t="s">
        <v>349</v>
      </c>
      <c r="H118" s="3" t="s">
        <v>350</v>
      </c>
      <c r="I118" s="39"/>
      <c r="J118" s="2"/>
      <c r="K118" s="2"/>
    </row>
    <row r="119" spans="1:11" ht="114.75" x14ac:dyDescent="0.25">
      <c r="A119" s="22">
        <v>43131</v>
      </c>
      <c r="B119" s="58" t="str">
        <f>HYPERLINK("http://aimsnorthafrica.org/","American Institute for Maghrib Studies")</f>
        <v>American Institute for Maghrib Studies</v>
      </c>
      <c r="C119" s="58" t="s">
        <v>351</v>
      </c>
      <c r="D119" s="39" t="s">
        <v>352</v>
      </c>
      <c r="E119" s="39" t="s">
        <v>17</v>
      </c>
      <c r="F119" s="40"/>
      <c r="G119" s="39"/>
      <c r="H119" s="3" t="s">
        <v>353</v>
      </c>
      <c r="I119" s="40">
        <v>43073</v>
      </c>
      <c r="J119" s="2"/>
      <c r="K119" s="2"/>
    </row>
    <row r="120" spans="1:11" ht="114.75" x14ac:dyDescent="0.25">
      <c r="A120" s="22">
        <v>43131</v>
      </c>
      <c r="B120" s="58" t="s">
        <v>354</v>
      </c>
      <c r="C120" s="58" t="s">
        <v>80</v>
      </c>
      <c r="D120" s="39" t="s">
        <v>355</v>
      </c>
      <c r="E120" s="39" t="s">
        <v>154</v>
      </c>
      <c r="F120" s="39" t="s">
        <v>356</v>
      </c>
      <c r="G120" s="50" t="s">
        <v>357</v>
      </c>
      <c r="H120" s="3" t="s">
        <v>358</v>
      </c>
      <c r="I120" s="39" t="s">
        <v>45</v>
      </c>
      <c r="J120" s="2"/>
      <c r="K120" s="2"/>
    </row>
    <row r="121" spans="1:11" ht="153" x14ac:dyDescent="0.25">
      <c r="A121" s="22">
        <v>43131</v>
      </c>
      <c r="B121" s="58" t="s">
        <v>46</v>
      </c>
      <c r="C121" s="58" t="s">
        <v>359</v>
      </c>
      <c r="D121" s="39" t="s">
        <v>47</v>
      </c>
      <c r="E121" s="39" t="s">
        <v>360</v>
      </c>
      <c r="F121" s="39"/>
      <c r="G121" s="50">
        <v>8400</v>
      </c>
      <c r="H121" s="3" t="s">
        <v>361</v>
      </c>
      <c r="I121" s="42">
        <v>43088</v>
      </c>
      <c r="J121" s="2"/>
      <c r="K121" s="2"/>
    </row>
    <row r="122" spans="1:11" ht="127.5" x14ac:dyDescent="0.25">
      <c r="A122" s="22">
        <v>43132</v>
      </c>
      <c r="B122" s="58" t="str">
        <f>HYPERLINK("http://www.jusfc.gov/","Japan-U.S. Friendship Commission")</f>
        <v>Japan-U.S. Friendship Commission</v>
      </c>
      <c r="C122" s="58" t="str">
        <f>HYPERLINK("http://www.jusfc.gov/creative-artists-programs/","US-Japan Creative Artists Fellowships")</f>
        <v>US-Japan Creative Artists Fellowships</v>
      </c>
      <c r="D122" s="39" t="s">
        <v>362</v>
      </c>
      <c r="E122" s="39" t="s">
        <v>363</v>
      </c>
      <c r="F122" s="39"/>
      <c r="G122" s="39"/>
      <c r="H122" s="3" t="s">
        <v>364</v>
      </c>
      <c r="I122" s="39"/>
      <c r="J122" s="2"/>
      <c r="K122" s="2"/>
    </row>
    <row r="123" spans="1:11" ht="102" x14ac:dyDescent="0.25">
      <c r="A123" s="22">
        <v>43132</v>
      </c>
      <c r="B123" s="58" t="s">
        <v>55</v>
      </c>
      <c r="C123" s="58" t="str">
        <f>HYPERLINK("https://www.amphilsoc.org/grants/library-short-term-resident-research-fellowships","Library Short Term Resident Research Fellowships")</f>
        <v>Library Short Term Resident Research Fellowships</v>
      </c>
      <c r="D123" s="39" t="s">
        <v>11</v>
      </c>
      <c r="E123" s="39" t="s">
        <v>21</v>
      </c>
      <c r="F123" s="39"/>
      <c r="G123" s="50">
        <v>3000</v>
      </c>
      <c r="H123" s="3" t="s">
        <v>365</v>
      </c>
      <c r="I123" s="39"/>
      <c r="J123" s="2"/>
      <c r="K123" s="2"/>
    </row>
    <row r="124" spans="1:11" ht="140.25" x14ac:dyDescent="0.25">
      <c r="A124" s="22">
        <v>43132</v>
      </c>
      <c r="B124" s="58" t="s">
        <v>366</v>
      </c>
      <c r="C124" s="58" t="s">
        <v>367</v>
      </c>
      <c r="D124" s="39" t="s">
        <v>11</v>
      </c>
      <c r="E124" s="39" t="s">
        <v>21</v>
      </c>
      <c r="F124" s="39"/>
      <c r="G124" s="39"/>
      <c r="H124" s="1" t="s">
        <v>368</v>
      </c>
      <c r="I124" s="39"/>
      <c r="J124" s="2"/>
      <c r="K124" s="2"/>
    </row>
    <row r="125" spans="1:11" ht="89.25" x14ac:dyDescent="0.25">
      <c r="A125" s="22">
        <v>43132</v>
      </c>
      <c r="B125" s="58" t="s">
        <v>369</v>
      </c>
      <c r="C125" s="58" t="s">
        <v>370</v>
      </c>
      <c r="D125" s="39" t="s">
        <v>11</v>
      </c>
      <c r="E125" s="39" t="s">
        <v>21</v>
      </c>
      <c r="F125" s="39"/>
      <c r="G125" s="39" t="s">
        <v>371</v>
      </c>
      <c r="H125" s="3" t="s">
        <v>372</v>
      </c>
      <c r="I125" s="39"/>
      <c r="J125" s="2"/>
      <c r="K125" s="2"/>
    </row>
    <row r="126" spans="1:11" ht="102" x14ac:dyDescent="0.25">
      <c r="A126" s="23">
        <v>43132</v>
      </c>
      <c r="B126" s="58" t="s">
        <v>373</v>
      </c>
      <c r="C126" s="58" t="str">
        <f>HYPERLINK("https://humanities.uconn.edu/applications/","Residential Fellowships")</f>
        <v>Residential Fellowships</v>
      </c>
      <c r="D126" s="39" t="s">
        <v>11</v>
      </c>
      <c r="E126" s="39" t="s">
        <v>21</v>
      </c>
      <c r="F126" s="41" t="s">
        <v>374</v>
      </c>
      <c r="G126" s="50">
        <v>45000</v>
      </c>
      <c r="H126" s="3" t="s">
        <v>375</v>
      </c>
      <c r="I126" s="41"/>
      <c r="J126" s="2"/>
      <c r="K126" s="2"/>
    </row>
    <row r="127" spans="1:11" ht="127.5" x14ac:dyDescent="0.25">
      <c r="A127" s="22">
        <v>43132</v>
      </c>
      <c r="B127" s="58" t="str">
        <f>HYPERLINK("http://web.fawc.org/","Fine Arts Work Center")</f>
        <v>Fine Arts Work Center</v>
      </c>
      <c r="C127" s="58" t="str">
        <f>HYPERLINK("http://web.fawc.org/program","Fellowships")</f>
        <v>Fellowships</v>
      </c>
      <c r="D127" s="39" t="s">
        <v>286</v>
      </c>
      <c r="E127" s="39" t="s">
        <v>21</v>
      </c>
      <c r="F127" s="39"/>
      <c r="G127" s="39" t="s">
        <v>376</v>
      </c>
      <c r="H127" s="3" t="s">
        <v>377</v>
      </c>
      <c r="I127" s="39"/>
      <c r="J127" s="2"/>
      <c r="K127" s="2"/>
    </row>
    <row r="128" spans="1:11" ht="140.25" x14ac:dyDescent="0.25">
      <c r="A128" s="22">
        <v>43132</v>
      </c>
      <c r="B128" s="58" t="str">
        <f>HYPERLINK("https://www.acorjordan.org/","National Endowment for the Humanities and American Center for Oriental Research (ACOR)")</f>
        <v>National Endowment for the Humanities and American Center for Oriental Research (ACOR)</v>
      </c>
      <c r="C128" s="58" t="str">
        <f>HYPERLINK("https://www.acorjordan.org/neh-fellowship/","Research Fellowships")</f>
        <v>Research Fellowships</v>
      </c>
      <c r="D128" s="39" t="s">
        <v>16</v>
      </c>
      <c r="E128" s="39" t="s">
        <v>378</v>
      </c>
      <c r="F128" s="39"/>
      <c r="G128" s="50">
        <v>25200</v>
      </c>
      <c r="H128" s="3" t="s">
        <v>379</v>
      </c>
      <c r="I128" s="39"/>
      <c r="J128" s="2"/>
      <c r="K128" s="2"/>
    </row>
    <row r="129" spans="1:11" ht="89.25" x14ac:dyDescent="0.25">
      <c r="A129" s="22">
        <v>43132</v>
      </c>
      <c r="B129" s="58" t="str">
        <f t="shared" ref="B129:B130" si="1">HYPERLINK("http://www.asian-studies.org/","Association for Asian Studies")</f>
        <v>Association for Asian Studies</v>
      </c>
      <c r="C129" s="58" t="str">
        <f>HYPERLINK("http://www.asian-studies.org/Grants-and-Awards/NEAC-Japan","AAS Northeast Asia Council Japan Studies Grants")</f>
        <v>AAS Northeast Asia Council Japan Studies Grants</v>
      </c>
      <c r="D129" s="39" t="s">
        <v>127</v>
      </c>
      <c r="E129" s="39" t="s">
        <v>132</v>
      </c>
      <c r="F129" s="39"/>
      <c r="G129" s="39" t="s">
        <v>380</v>
      </c>
      <c r="H129" s="3" t="s">
        <v>381</v>
      </c>
      <c r="I129" s="39"/>
      <c r="J129" s="2"/>
      <c r="K129" s="2"/>
    </row>
    <row r="130" spans="1:11" ht="89.25" x14ac:dyDescent="0.25">
      <c r="A130" s="22">
        <v>43132</v>
      </c>
      <c r="B130" s="58" t="str">
        <f t="shared" si="1"/>
        <v>Association for Asian Studies</v>
      </c>
      <c r="C130" s="58" t="str">
        <f>HYPERLINK("http://www.asian-studies.org/Grants-and-Awards/NEAC-Korea","AAS Northeast Asia Council Korean Studies Grants")</f>
        <v>AAS Northeast Asia Council Korean Studies Grants</v>
      </c>
      <c r="D130" s="39" t="s">
        <v>127</v>
      </c>
      <c r="E130" s="39" t="s">
        <v>17</v>
      </c>
      <c r="F130" s="39"/>
      <c r="G130" s="39" t="s">
        <v>382</v>
      </c>
      <c r="H130" s="3" t="s">
        <v>383</v>
      </c>
      <c r="I130" s="39"/>
      <c r="J130" s="2"/>
      <c r="K130" s="2"/>
    </row>
    <row r="131" spans="1:11" ht="102" x14ac:dyDescent="0.25">
      <c r="A131" s="22">
        <v>43132</v>
      </c>
      <c r="B131" s="58" t="str">
        <f>HYPERLINK("https://drclas.harvard.edu/","David Rockefeller Center for Latin American Studies")</f>
        <v>David Rockefeller Center for Latin American Studies</v>
      </c>
      <c r="C131" s="58" t="str">
        <f>HYPERLINK("https://drclas.harvard.edu/pages/visiting-scholars","Visiting Scholar")</f>
        <v>Visiting Scholar</v>
      </c>
      <c r="D131" s="39" t="s">
        <v>384</v>
      </c>
      <c r="E131" s="39" t="s">
        <v>21</v>
      </c>
      <c r="F131" s="39"/>
      <c r="G131" s="39" t="s">
        <v>385</v>
      </c>
      <c r="H131" s="3" t="s">
        <v>386</v>
      </c>
      <c r="I131" s="39"/>
      <c r="J131" s="2"/>
      <c r="K131" s="2"/>
    </row>
    <row r="132" spans="1:11" ht="25.5" x14ac:dyDescent="0.25">
      <c r="A132" s="22">
        <v>43132</v>
      </c>
      <c r="B132" s="58" t="s">
        <v>387</v>
      </c>
      <c r="C132" s="58" t="s">
        <v>388</v>
      </c>
      <c r="D132" s="39" t="s">
        <v>19</v>
      </c>
      <c r="E132" s="39" t="s">
        <v>17</v>
      </c>
      <c r="F132" s="39"/>
      <c r="G132" s="39"/>
      <c r="H132" s="1" t="s">
        <v>13</v>
      </c>
      <c r="I132" s="39"/>
      <c r="J132" s="2"/>
      <c r="K132" s="2"/>
    </row>
    <row r="133" spans="1:11" ht="127.5" x14ac:dyDescent="0.25">
      <c r="A133" s="22">
        <v>43132</v>
      </c>
      <c r="B133" s="58" t="s">
        <v>389</v>
      </c>
      <c r="C133" s="58" t="s">
        <v>390</v>
      </c>
      <c r="D133" s="39" t="s">
        <v>19</v>
      </c>
      <c r="E133" s="39" t="s">
        <v>17</v>
      </c>
      <c r="F133" s="39" t="s">
        <v>92</v>
      </c>
      <c r="G133" s="39" t="s">
        <v>391</v>
      </c>
      <c r="H133" s="3" t="s">
        <v>392</v>
      </c>
      <c r="I133" s="40">
        <v>43088</v>
      </c>
      <c r="J133" s="2"/>
      <c r="K133" s="2"/>
    </row>
    <row r="134" spans="1:11" ht="114.75" x14ac:dyDescent="0.25">
      <c r="A134" s="22">
        <v>43132</v>
      </c>
      <c r="B134" s="58" t="str">
        <f>HYPERLINK("https://www.bwfund.org/","Burroughs Wellcome Fund")</f>
        <v>Burroughs Wellcome Fund</v>
      </c>
      <c r="C134" s="58" t="str">
        <f>HYPERLINK("https://www.bwfund.org/grant-programs/biomedical-sciences/collaborative-research-travel-grants","Collaborative Research Travel Grant")</f>
        <v>Collaborative Research Travel Grant</v>
      </c>
      <c r="D134" s="39" t="s">
        <v>393</v>
      </c>
      <c r="E134" s="39" t="s">
        <v>394</v>
      </c>
      <c r="F134" s="39"/>
      <c r="G134" s="39" t="s">
        <v>106</v>
      </c>
      <c r="H134" s="3" t="s">
        <v>395</v>
      </c>
      <c r="I134" s="39"/>
      <c r="J134" s="2"/>
      <c r="K134" s="2"/>
    </row>
    <row r="135" spans="1:11" ht="255" x14ac:dyDescent="0.25">
      <c r="A135" s="22">
        <v>43132</v>
      </c>
      <c r="B135" s="60" t="s">
        <v>396</v>
      </c>
      <c r="C135" s="60" t="s">
        <v>397</v>
      </c>
      <c r="D135" s="39" t="s">
        <v>111</v>
      </c>
      <c r="E135" s="39" t="s">
        <v>17</v>
      </c>
      <c r="F135" s="40"/>
      <c r="G135" s="40" t="s">
        <v>398</v>
      </c>
      <c r="H135" s="7" t="s">
        <v>399</v>
      </c>
      <c r="I135" s="40">
        <v>43146</v>
      </c>
      <c r="J135" s="2"/>
      <c r="K135" s="2"/>
    </row>
    <row r="136" spans="1:11" ht="127.5" x14ac:dyDescent="0.25">
      <c r="A136" s="22">
        <v>43132</v>
      </c>
      <c r="B136" s="58" t="s">
        <v>400</v>
      </c>
      <c r="C136" s="58" t="s">
        <v>401</v>
      </c>
      <c r="D136" s="39" t="s">
        <v>402</v>
      </c>
      <c r="E136" s="39" t="s">
        <v>120</v>
      </c>
      <c r="F136" s="39"/>
      <c r="G136" s="39"/>
      <c r="H136" s="3" t="s">
        <v>403</v>
      </c>
      <c r="I136" s="39"/>
      <c r="J136" s="2"/>
      <c r="K136" s="2"/>
    </row>
    <row r="137" spans="1:11" ht="140.25" x14ac:dyDescent="0.25">
      <c r="A137" s="22">
        <v>43132</v>
      </c>
      <c r="B137" s="58" t="str">
        <f>HYPERLINK("https://www.archaeological.org/","Archeological Institute of America")</f>
        <v>Archeological Institute of America</v>
      </c>
      <c r="C137" s="60" t="s">
        <v>404</v>
      </c>
      <c r="D137" s="39" t="s">
        <v>94</v>
      </c>
      <c r="E137" s="39" t="s">
        <v>100</v>
      </c>
      <c r="F137" s="39"/>
      <c r="G137" s="50">
        <v>20000</v>
      </c>
      <c r="H137" s="3" t="s">
        <v>405</v>
      </c>
      <c r="I137" s="39"/>
      <c r="J137" s="2"/>
      <c r="K137" s="2"/>
    </row>
    <row r="138" spans="1:11" ht="204" x14ac:dyDescent="0.25">
      <c r="A138" s="22">
        <v>43133</v>
      </c>
      <c r="B138" s="58" t="s">
        <v>406</v>
      </c>
      <c r="C138" s="58" t="s">
        <v>407</v>
      </c>
      <c r="D138" s="39" t="s">
        <v>408</v>
      </c>
      <c r="E138" s="39" t="s">
        <v>17</v>
      </c>
      <c r="F138" s="40"/>
      <c r="G138" s="50">
        <v>3500</v>
      </c>
      <c r="H138" s="3" t="s">
        <v>409</v>
      </c>
      <c r="I138" s="40">
        <v>43088</v>
      </c>
      <c r="J138" s="5"/>
      <c r="K138" s="5"/>
    </row>
    <row r="139" spans="1:11" ht="114.75" x14ac:dyDescent="0.25">
      <c r="A139" s="22">
        <v>43135</v>
      </c>
      <c r="B139" s="58" t="str">
        <f>HYPERLINK("https://www.nsf.gov/","National Science Foundation")</f>
        <v>National Science Foundation</v>
      </c>
      <c r="C139" s="58" t="s">
        <v>410</v>
      </c>
      <c r="D139" s="39" t="s">
        <v>111</v>
      </c>
      <c r="E139" s="39" t="s">
        <v>17</v>
      </c>
      <c r="F139" s="39"/>
      <c r="G139" s="39"/>
      <c r="H139" s="3" t="s">
        <v>411</v>
      </c>
      <c r="I139" s="40">
        <v>43088</v>
      </c>
      <c r="J139" s="2"/>
      <c r="K139" s="2"/>
    </row>
    <row r="140" spans="1:11" ht="127.5" x14ac:dyDescent="0.25">
      <c r="A140" s="22">
        <v>43136</v>
      </c>
      <c r="B140" s="58" t="s">
        <v>412</v>
      </c>
      <c r="C140" s="58" t="str">
        <f>HYPERLINK("https://www.radcliffe.harvard.edu/schlesinger-library/grants","Schlesinger Oral History Grants")</f>
        <v>Schlesinger Oral History Grants</v>
      </c>
      <c r="D140" s="39" t="s">
        <v>413</v>
      </c>
      <c r="E140" s="39" t="s">
        <v>258</v>
      </c>
      <c r="F140" s="39"/>
      <c r="G140" s="50">
        <v>3000</v>
      </c>
      <c r="H140" s="3" t="s">
        <v>414</v>
      </c>
      <c r="I140" s="39"/>
      <c r="J140" s="2"/>
      <c r="K140" s="2"/>
    </row>
    <row r="141" spans="1:11" ht="153" x14ac:dyDescent="0.25">
      <c r="A141" s="22">
        <v>43136</v>
      </c>
      <c r="B141" s="58" t="s">
        <v>412</v>
      </c>
      <c r="C141" s="58" t="str">
        <f>HYPERLINK("https://www.radcliffe.harvard.edu/schlesinger-library/grants","Schlesinger Research Grant")</f>
        <v>Schlesinger Research Grant</v>
      </c>
      <c r="D141" s="39" t="s">
        <v>413</v>
      </c>
      <c r="E141" s="39" t="s">
        <v>17</v>
      </c>
      <c r="F141" s="39"/>
      <c r="G141" s="50">
        <v>3000</v>
      </c>
      <c r="H141" s="3" t="s">
        <v>415</v>
      </c>
      <c r="I141" s="39"/>
      <c r="J141" s="2"/>
      <c r="K141" s="2"/>
    </row>
    <row r="142" spans="1:11" ht="102" x14ac:dyDescent="0.25">
      <c r="A142" s="22">
        <v>43136</v>
      </c>
      <c r="B142" s="58" t="str">
        <f>HYPERLINK("https://www.nih.gov/","National Institutes of Health ")</f>
        <v xml:space="preserve">National Institutes of Health </v>
      </c>
      <c r="C142" s="58" t="s">
        <v>416</v>
      </c>
      <c r="D142" s="39" t="s">
        <v>19</v>
      </c>
      <c r="E142" s="39" t="s">
        <v>17</v>
      </c>
      <c r="F142" s="39"/>
      <c r="G142" s="39"/>
      <c r="H142" s="3" t="s">
        <v>417</v>
      </c>
      <c r="I142" s="40">
        <v>43088</v>
      </c>
      <c r="J142" s="2"/>
      <c r="K142" s="2"/>
    </row>
    <row r="143" spans="1:11" ht="25.5" x14ac:dyDescent="0.25">
      <c r="A143" s="22">
        <v>43138</v>
      </c>
      <c r="B143" s="58" t="str">
        <f>HYPERLINK("neh.gov","National Endowment for the Humanities")</f>
        <v>National Endowment for the Humanities</v>
      </c>
      <c r="C143" s="58" t="s">
        <v>418</v>
      </c>
      <c r="D143" s="39" t="s">
        <v>11</v>
      </c>
      <c r="E143" s="39" t="s">
        <v>17</v>
      </c>
      <c r="F143" s="39"/>
      <c r="G143" s="39"/>
      <c r="H143" s="1" t="s">
        <v>13</v>
      </c>
      <c r="I143" s="39"/>
      <c r="J143" s="2"/>
      <c r="K143" s="2"/>
    </row>
    <row r="144" spans="1:11" ht="128.25" x14ac:dyDescent="0.25">
      <c r="A144" s="22">
        <v>43138</v>
      </c>
      <c r="B144" s="58" t="str">
        <f>HYPERLINK("http://jamesweldonjohnson.emory.edu","Emory University")</f>
        <v>Emory University</v>
      </c>
      <c r="C144" s="58" t="str">
        <f>HYPERLINK("http://jamesweldonjohnson.emory.edu/home/fellowship/apply.html","James Weldon Johnson Institute for the Study of Race and Difference Visiting Fellowships for Post-Doctoral and Advanced Scholars")</f>
        <v>James Weldon Johnson Institute for the Study of Race and Difference Visiting Fellowships for Post-Doctoral and Advanced Scholars</v>
      </c>
      <c r="D144" s="39" t="s">
        <v>419</v>
      </c>
      <c r="E144" s="39" t="s">
        <v>21</v>
      </c>
      <c r="F144" s="40"/>
      <c r="G144" s="39"/>
      <c r="H144" s="8" t="s">
        <v>420</v>
      </c>
      <c r="I144" s="40">
        <v>43088</v>
      </c>
      <c r="J144" s="2"/>
      <c r="K144" s="2"/>
    </row>
    <row r="145" spans="1:11" ht="114.75" x14ac:dyDescent="0.25">
      <c r="A145" s="22">
        <v>43139</v>
      </c>
      <c r="B145" s="58" t="s">
        <v>421</v>
      </c>
      <c r="C145" s="58" t="str">
        <f>HYPERLINK("http://www.dreyfus.org/awards/camille_dreyfus_teacher_award.shtml","Camille Dreyfus Teacher-Scholar Awards")</f>
        <v>Camille Dreyfus Teacher-Scholar Awards</v>
      </c>
      <c r="D145" s="39" t="s">
        <v>19</v>
      </c>
      <c r="E145" s="39" t="s">
        <v>12</v>
      </c>
      <c r="F145" s="39" t="s">
        <v>43</v>
      </c>
      <c r="G145" s="50">
        <v>75000</v>
      </c>
      <c r="H145" s="3" t="s">
        <v>422</v>
      </c>
      <c r="I145" s="40">
        <v>43088</v>
      </c>
      <c r="J145" s="2"/>
      <c r="K145" s="2"/>
    </row>
    <row r="146" spans="1:11" ht="216.75" x14ac:dyDescent="0.25">
      <c r="A146" s="22">
        <v>43140</v>
      </c>
      <c r="B146" s="58" t="str">
        <f>HYPERLINK("https://www.nsf.gov/","National Science Foundation")</f>
        <v>National Science Foundation</v>
      </c>
      <c r="C146" s="58" t="s">
        <v>423</v>
      </c>
      <c r="D146" s="39" t="s">
        <v>111</v>
      </c>
      <c r="E146" s="39" t="s">
        <v>17</v>
      </c>
      <c r="F146" s="39"/>
      <c r="G146" s="39"/>
      <c r="H146" s="3" t="s">
        <v>424</v>
      </c>
      <c r="I146" s="40">
        <v>43088</v>
      </c>
      <c r="J146" s="2"/>
      <c r="K146" s="2"/>
    </row>
    <row r="147" spans="1:11" ht="165.75" x14ac:dyDescent="0.25">
      <c r="A147" s="22">
        <v>43143</v>
      </c>
      <c r="B147" s="58" t="str">
        <f>HYPERLINK("http://cals.la.psu.edu/","Pennsylvania State University Center for American Literary Studies")</f>
        <v>Pennsylvania State University Center for American Literary Studies</v>
      </c>
      <c r="C147" s="58" t="str">
        <f>HYPERLINK("http://cals.la.psu.edu/programs-series/first-book-institute","First Book Institute")</f>
        <v>First Book Institute</v>
      </c>
      <c r="D147" s="39" t="s">
        <v>253</v>
      </c>
      <c r="E147" s="39" t="s">
        <v>150</v>
      </c>
      <c r="F147" s="39"/>
      <c r="G147" s="50">
        <v>1500</v>
      </c>
      <c r="H147" s="3" t="s">
        <v>425</v>
      </c>
      <c r="I147" s="39"/>
      <c r="J147" s="2"/>
      <c r="K147" s="2"/>
    </row>
    <row r="148" spans="1:11" ht="114.75" x14ac:dyDescent="0.25">
      <c r="A148" s="22">
        <v>43143</v>
      </c>
      <c r="B148" s="58" t="str">
        <f>HYPERLINK("https://www.maa.org/","Mathematical Association of the United States")</f>
        <v>Mathematical Association of the United States</v>
      </c>
      <c r="C148" s="58" t="str">
        <f>HYPERLINK("https://www.maa.org/programs/maa-grants/women-and-mathematics-grants","Tensor Women and Mathematics Grants")</f>
        <v>Tensor Women and Mathematics Grants</v>
      </c>
      <c r="D148" s="39" t="s">
        <v>47</v>
      </c>
      <c r="E148" s="39" t="s">
        <v>132</v>
      </c>
      <c r="F148" s="39"/>
      <c r="G148" s="39" t="s">
        <v>426</v>
      </c>
      <c r="H148" s="3" t="s">
        <v>427</v>
      </c>
      <c r="I148" s="39"/>
      <c r="J148" s="2"/>
      <c r="K148" s="2"/>
    </row>
    <row r="149" spans="1:11" ht="114.75" x14ac:dyDescent="0.25">
      <c r="A149" s="22">
        <v>43143</v>
      </c>
      <c r="B149" s="58" t="str">
        <f>HYPERLINK("https://www.nsf.gov/","National Science Foundation")</f>
        <v>National Science Foundation</v>
      </c>
      <c r="C149" s="58" t="s">
        <v>428</v>
      </c>
      <c r="D149" s="39" t="s">
        <v>179</v>
      </c>
      <c r="E149" s="39" t="s">
        <v>17</v>
      </c>
      <c r="F149" s="39"/>
      <c r="G149" s="39"/>
      <c r="H149" s="3" t="s">
        <v>429</v>
      </c>
      <c r="I149" s="40">
        <v>43088</v>
      </c>
      <c r="J149" s="2"/>
      <c r="K149" s="2"/>
    </row>
    <row r="150" spans="1:11" ht="267.75" x14ac:dyDescent="0.25">
      <c r="A150" s="22">
        <v>43146</v>
      </c>
      <c r="B150" s="58" t="str">
        <f>HYPERLINK("https://www.neh.gov/","National Endowment for the Humanities")</f>
        <v>National Endowment for the Humanities</v>
      </c>
      <c r="C150" s="58" t="s">
        <v>430</v>
      </c>
      <c r="D150" s="39" t="s">
        <v>11</v>
      </c>
      <c r="E150" s="39" t="s">
        <v>309</v>
      </c>
      <c r="F150" s="40"/>
      <c r="G150" s="39"/>
      <c r="H150" s="3" t="s">
        <v>431</v>
      </c>
      <c r="I150" s="40">
        <v>43088</v>
      </c>
      <c r="J150" s="2"/>
      <c r="K150" s="2"/>
    </row>
    <row r="151" spans="1:11" ht="165.75" x14ac:dyDescent="0.25">
      <c r="A151" s="22">
        <v>43146</v>
      </c>
      <c r="B151" s="58" t="s">
        <v>432</v>
      </c>
      <c r="C151" s="58" t="s">
        <v>433</v>
      </c>
      <c r="D151" s="39" t="s">
        <v>11</v>
      </c>
      <c r="E151" s="39" t="s">
        <v>258</v>
      </c>
      <c r="F151" s="40"/>
      <c r="G151" s="39"/>
      <c r="H151" s="1" t="s">
        <v>434</v>
      </c>
      <c r="I151" s="40">
        <v>43074</v>
      </c>
      <c r="J151" s="2"/>
      <c r="K151" s="2"/>
    </row>
    <row r="152" spans="1:11" ht="204" x14ac:dyDescent="0.25">
      <c r="A152" s="22">
        <v>43146</v>
      </c>
      <c r="B152" s="58" t="str">
        <f>HYPERLINK("https://www.arts.gov/","National Endowment for the Arts")</f>
        <v>National Endowment for the Arts</v>
      </c>
      <c r="C152" s="58" t="str">
        <f>HYPERLINK("https://www.arts.gov/grants-organizations/art-works/media-arts","Media Arts Grants")</f>
        <v>Media Arts Grants</v>
      </c>
      <c r="D152" s="39" t="s">
        <v>286</v>
      </c>
      <c r="E152" s="39" t="s">
        <v>258</v>
      </c>
      <c r="F152" s="40"/>
      <c r="G152" s="39"/>
      <c r="H152" s="3" t="s">
        <v>435</v>
      </c>
      <c r="I152" s="40"/>
      <c r="J152" s="2"/>
      <c r="K152" s="2"/>
    </row>
    <row r="153" spans="1:11" ht="204" x14ac:dyDescent="0.25">
      <c r="A153" s="22">
        <v>43146</v>
      </c>
      <c r="B153" s="58" t="s">
        <v>436</v>
      </c>
      <c r="C153" s="58" t="str">
        <f>HYPERLINK("http://vermontstudiocenter.org/fees-and-financial-aid/","Fellowships")</f>
        <v>Fellowships</v>
      </c>
      <c r="D153" s="39" t="s">
        <v>286</v>
      </c>
      <c r="E153" s="39" t="s">
        <v>21</v>
      </c>
      <c r="F153" s="40"/>
      <c r="G153" s="39"/>
      <c r="H153" s="3" t="s">
        <v>437</v>
      </c>
      <c r="I153" s="40">
        <v>43088</v>
      </c>
      <c r="J153" s="2"/>
      <c r="K153" s="2"/>
    </row>
    <row r="154" spans="1:11" ht="89.25" x14ac:dyDescent="0.25">
      <c r="A154" s="22">
        <v>43146</v>
      </c>
      <c r="B154" s="58" t="str">
        <f>HYPERLINK("https://www.societyforfrenchhistoricalstudies.net/","Society for French Historical Studies")</f>
        <v>Society for French Historical Studies</v>
      </c>
      <c r="C154" s="58" t="s">
        <v>438</v>
      </c>
      <c r="D154" s="39" t="s">
        <v>20</v>
      </c>
      <c r="E154" s="39" t="s">
        <v>394</v>
      </c>
      <c r="F154" s="39" t="s">
        <v>311</v>
      </c>
      <c r="G154" s="39"/>
      <c r="H154" s="3" t="s">
        <v>439</v>
      </c>
      <c r="I154" s="40">
        <v>43088</v>
      </c>
      <c r="J154" s="2"/>
      <c r="K154" s="2"/>
    </row>
    <row r="155" spans="1:11" ht="127.5" x14ac:dyDescent="0.25">
      <c r="A155" s="22">
        <v>43146</v>
      </c>
      <c r="B155" s="58" t="str">
        <f>HYPERLINK("http://depts.washington.edu/jacobsf/","Jacobs Research Funds")</f>
        <v>Jacobs Research Funds</v>
      </c>
      <c r="C155" s="58" t="s">
        <v>440</v>
      </c>
      <c r="D155" s="39" t="s">
        <v>441</v>
      </c>
      <c r="E155" s="39" t="s">
        <v>17</v>
      </c>
      <c r="F155" s="39"/>
      <c r="G155" s="39" t="s">
        <v>442</v>
      </c>
      <c r="H155" s="3" t="s">
        <v>443</v>
      </c>
      <c r="I155" s="40">
        <v>43088</v>
      </c>
      <c r="J155" s="2"/>
      <c r="K155" s="2"/>
    </row>
    <row r="156" spans="1:11" ht="63.75" x14ac:dyDescent="0.25">
      <c r="A156" s="22">
        <v>43146</v>
      </c>
      <c r="B156" s="58" t="s">
        <v>444</v>
      </c>
      <c r="C156" s="58" t="s">
        <v>445</v>
      </c>
      <c r="D156" s="39" t="s">
        <v>19</v>
      </c>
      <c r="E156" s="39" t="s">
        <v>446</v>
      </c>
      <c r="F156" s="39" t="s">
        <v>92</v>
      </c>
      <c r="G156" s="39" t="s">
        <v>447</v>
      </c>
      <c r="H156" s="3" t="s">
        <v>448</v>
      </c>
      <c r="I156" s="40">
        <v>43088</v>
      </c>
      <c r="J156" s="2"/>
      <c r="K156" s="2"/>
    </row>
    <row r="157" spans="1:11" ht="90" x14ac:dyDescent="0.25">
      <c r="A157" s="22">
        <v>43146</v>
      </c>
      <c r="B157" s="58" t="str">
        <f>HYPERLINK("https://www.nsf.gov/","National Science Foundation")</f>
        <v>National Science Foundation</v>
      </c>
      <c r="C157" s="58" t="s">
        <v>449</v>
      </c>
      <c r="D157" s="39" t="s">
        <v>19</v>
      </c>
      <c r="E157" s="39" t="s">
        <v>17</v>
      </c>
      <c r="F157" s="39"/>
      <c r="G157" s="39"/>
      <c r="H157" s="6" t="s">
        <v>450</v>
      </c>
      <c r="I157" s="40">
        <v>43088</v>
      </c>
      <c r="J157" s="2"/>
      <c r="K157" s="2"/>
    </row>
    <row r="158" spans="1:11" ht="114.75" x14ac:dyDescent="0.25">
      <c r="A158" s="22">
        <v>43146</v>
      </c>
      <c r="B158" s="58" t="str">
        <f>HYPERLINK("https://www.archaeological.org/","Archeological Institute of America")</f>
        <v>Archeological Institute of America</v>
      </c>
      <c r="C158" s="60" t="s">
        <v>451</v>
      </c>
      <c r="D158" s="39" t="s">
        <v>94</v>
      </c>
      <c r="E158" s="39" t="s">
        <v>100</v>
      </c>
      <c r="F158" s="39"/>
      <c r="G158" s="50">
        <v>25000</v>
      </c>
      <c r="H158" s="3" t="s">
        <v>452</v>
      </c>
      <c r="I158" s="39"/>
      <c r="J158" s="2"/>
      <c r="K158" s="2"/>
    </row>
    <row r="159" spans="1:11" ht="25.5" x14ac:dyDescent="0.25">
      <c r="A159" s="22">
        <v>43147</v>
      </c>
      <c r="B159" s="58" t="str">
        <f t="shared" ref="B159:B160" si="2">HYPERLINK("https://www.nih.gov/","National Institutes of Health ")</f>
        <v xml:space="preserve">National Institutes of Health </v>
      </c>
      <c r="C159" s="58" t="s">
        <v>453</v>
      </c>
      <c r="D159" s="39" t="s">
        <v>19</v>
      </c>
      <c r="E159" s="39" t="s">
        <v>17</v>
      </c>
      <c r="F159" s="39"/>
      <c r="G159" s="39"/>
      <c r="H159" s="1" t="s">
        <v>343</v>
      </c>
      <c r="I159" s="39" t="s">
        <v>454</v>
      </c>
      <c r="J159" s="2"/>
      <c r="K159" s="2"/>
    </row>
    <row r="160" spans="1:11" ht="38.25" x14ac:dyDescent="0.25">
      <c r="A160" s="22">
        <v>43147</v>
      </c>
      <c r="B160" s="58" t="str">
        <f t="shared" si="2"/>
        <v xml:space="preserve">National Institutes of Health </v>
      </c>
      <c r="C160" s="58" t="s">
        <v>453</v>
      </c>
      <c r="D160" s="39" t="s">
        <v>19</v>
      </c>
      <c r="E160" s="39" t="s">
        <v>17</v>
      </c>
      <c r="F160" s="39"/>
      <c r="G160" s="39"/>
      <c r="H160" s="1" t="s">
        <v>343</v>
      </c>
      <c r="I160" s="39" t="s">
        <v>455</v>
      </c>
      <c r="J160" s="2"/>
      <c r="K160" s="2"/>
    </row>
    <row r="161" spans="1:11" ht="114.75" x14ac:dyDescent="0.25">
      <c r="A161" s="22">
        <v>43152</v>
      </c>
      <c r="B161" s="64" t="str">
        <f t="shared" ref="B161:B162" si="3">HYPERLINK("https://nyscf.org/","New York Stem Cell Foundation")</f>
        <v>New York Stem Cell Foundation</v>
      </c>
      <c r="C161" s="58" t="str">
        <f>HYPERLINK("https://nyscf.org/programs/extramural-grants/applicants/stem-cell-investigator-awards/","Stem Cell Investigator Awards")</f>
        <v>Stem Cell Investigator Awards</v>
      </c>
      <c r="D161" s="39" t="s">
        <v>19</v>
      </c>
      <c r="E161" s="39" t="s">
        <v>12</v>
      </c>
      <c r="F161" s="39" t="s">
        <v>92</v>
      </c>
      <c r="G161" s="39" t="s">
        <v>456</v>
      </c>
      <c r="H161" s="3" t="s">
        <v>457</v>
      </c>
      <c r="I161" s="39"/>
      <c r="J161" s="2"/>
      <c r="K161" s="2"/>
    </row>
    <row r="162" spans="1:11" ht="89.25" x14ac:dyDescent="0.25">
      <c r="A162" s="22">
        <v>43152</v>
      </c>
      <c r="B162" s="64" t="str">
        <f t="shared" si="3"/>
        <v>New York Stem Cell Foundation</v>
      </c>
      <c r="C162" s="58" t="str">
        <f>HYPERLINK("https://nyscf.org/programs/extramural-grants/applicants/neuroscience-investigator-awards/","Neuroscience Investigator Awards")</f>
        <v>Neuroscience Investigator Awards</v>
      </c>
      <c r="D162" s="39" t="s">
        <v>458</v>
      </c>
      <c r="E162" s="39" t="s">
        <v>12</v>
      </c>
      <c r="F162" s="39" t="s">
        <v>92</v>
      </c>
      <c r="G162" s="39" t="s">
        <v>456</v>
      </c>
      <c r="H162" s="3" t="s">
        <v>459</v>
      </c>
      <c r="I162" s="39"/>
      <c r="J162" s="2"/>
      <c r="K162" s="2"/>
    </row>
    <row r="163" spans="1:11" ht="229.5" x14ac:dyDescent="0.25">
      <c r="A163" s="22">
        <v>43152</v>
      </c>
      <c r="B163" s="58" t="str">
        <f>HYPERLINK("https://www.nsf.gov/","National Science Foundation")</f>
        <v>National Science Foundation</v>
      </c>
      <c r="C163" s="58" t="str">
        <f>HYPERLINK("https://www.nsf.gov/pubs/2018/nsf18519/nsf18519.htm?WT.mc_id=USNSF_25&amp;WT.mc_ev=click","American National Election Studies Competition (ANES)")</f>
        <v>American National Election Studies Competition (ANES)</v>
      </c>
      <c r="D163" s="39" t="s">
        <v>328</v>
      </c>
      <c r="E163" s="39" t="s">
        <v>258</v>
      </c>
      <c r="F163" s="39"/>
      <c r="G163" s="39"/>
      <c r="H163" s="3" t="s">
        <v>460</v>
      </c>
      <c r="I163" s="40">
        <v>43088</v>
      </c>
      <c r="J163" s="2"/>
      <c r="K163" s="2"/>
    </row>
    <row r="164" spans="1:11" ht="204" x14ac:dyDescent="0.25">
      <c r="A164" s="22">
        <v>43153</v>
      </c>
      <c r="B164" s="58" t="str">
        <f>HYPERLINK("https://www.neh.gov/","National Endowment for the Humanities")</f>
        <v>National Endowment for the Humanities</v>
      </c>
      <c r="C164" s="58" t="s">
        <v>461</v>
      </c>
      <c r="D164" s="39" t="s">
        <v>11</v>
      </c>
      <c r="E164" s="39" t="s">
        <v>462</v>
      </c>
      <c r="F164" s="39"/>
      <c r="G164" s="39"/>
      <c r="H164" s="3" t="s">
        <v>463</v>
      </c>
      <c r="I164" s="39"/>
      <c r="J164" s="2"/>
      <c r="K164" s="2"/>
    </row>
    <row r="165" spans="1:11" s="31" customFormat="1" ht="38.25" x14ac:dyDescent="0.25">
      <c r="A165" s="32">
        <v>43154</v>
      </c>
      <c r="B165" s="65" t="s">
        <v>464</v>
      </c>
      <c r="C165" s="66" t="str">
        <f>HYPERLINK("http://www.aiys.org/fellowships.html","Fellowships for Study and Research in Yemen")</f>
        <v>Fellowships for Study and Research in Yemen</v>
      </c>
      <c r="D165" s="45" t="s">
        <v>345</v>
      </c>
      <c r="E165" s="45" t="s">
        <v>465</v>
      </c>
      <c r="F165" s="45" t="s">
        <v>466</v>
      </c>
      <c r="G165" s="52">
        <v>6000</v>
      </c>
      <c r="H165" s="33" t="s">
        <v>467</v>
      </c>
      <c r="I165" s="43"/>
      <c r="J165" s="34"/>
      <c r="K165" s="34"/>
    </row>
    <row r="166" spans="1:11" ht="153" x14ac:dyDescent="0.25">
      <c r="A166" s="22">
        <v>43154</v>
      </c>
      <c r="B166" s="58" t="str">
        <f>HYPERLINK("http://scienceandsociety.columbia.edu/","Center for Science and Society at Columbia University")</f>
        <v>Center for Science and Society at Columbia University</v>
      </c>
      <c r="C166" s="58" t="str">
        <f>HYPERLINK("http://scienceandsociety.columbia.edu/research/2017-seed-grants/","Seed Grants")</f>
        <v>Seed Grants</v>
      </c>
      <c r="D166" s="39" t="s">
        <v>468</v>
      </c>
      <c r="E166" s="39" t="s">
        <v>469</v>
      </c>
      <c r="F166" s="40"/>
      <c r="G166" s="40" t="s">
        <v>470</v>
      </c>
      <c r="H166" s="7" t="s">
        <v>471</v>
      </c>
      <c r="I166" s="40">
        <v>43146</v>
      </c>
      <c r="J166" s="2"/>
      <c r="K166" s="2"/>
    </row>
    <row r="167" spans="1:11" ht="25.5" x14ac:dyDescent="0.25">
      <c r="A167" s="22">
        <v>43156</v>
      </c>
      <c r="B167" s="58" t="str">
        <f>HYPERLINK("https://www.nih.gov/","National Institutes of Health ")</f>
        <v xml:space="preserve">National Institutes of Health </v>
      </c>
      <c r="C167" s="58" t="s">
        <v>472</v>
      </c>
      <c r="D167" s="39" t="s">
        <v>19</v>
      </c>
      <c r="E167" s="39" t="s">
        <v>17</v>
      </c>
      <c r="F167" s="39"/>
      <c r="G167" s="39"/>
      <c r="H167" s="1" t="s">
        <v>343</v>
      </c>
      <c r="I167" s="39"/>
      <c r="J167" s="2"/>
      <c r="K167" s="2"/>
    </row>
    <row r="168" spans="1:11" ht="76.5" x14ac:dyDescent="0.25">
      <c r="A168" s="22">
        <v>43159</v>
      </c>
      <c r="B168" s="58" t="str">
        <f>HYPERLINK("http://www.eifgrants.org/about/index.html","Engineering Information Foundation ")</f>
        <v xml:space="preserve">Engineering Information Foundation </v>
      </c>
      <c r="C168" s="58" t="str">
        <f>HYPERLINK("http://www.eifgrants.org/info/women.html","Women in Engineering Grant Program")</f>
        <v>Women in Engineering Grant Program</v>
      </c>
      <c r="D168" s="39" t="s">
        <v>473</v>
      </c>
      <c r="E168" s="39" t="s">
        <v>132</v>
      </c>
      <c r="F168" s="39"/>
      <c r="G168" s="39"/>
      <c r="H168" s="1" t="s">
        <v>474</v>
      </c>
      <c r="I168" s="39"/>
      <c r="J168" s="2"/>
      <c r="K168" s="2"/>
    </row>
    <row r="169" spans="1:11" ht="76.5" x14ac:dyDescent="0.25">
      <c r="A169" s="22">
        <v>43160</v>
      </c>
      <c r="B169" s="58" t="s">
        <v>475</v>
      </c>
      <c r="C169" s="58" t="s">
        <v>476</v>
      </c>
      <c r="D169" s="39" t="s">
        <v>362</v>
      </c>
      <c r="E169" s="39" t="s">
        <v>154</v>
      </c>
      <c r="F169" s="39"/>
      <c r="G169" s="39"/>
      <c r="H169" s="3" t="s">
        <v>477</v>
      </c>
      <c r="I169" s="39" t="s">
        <v>478</v>
      </c>
      <c r="J169" s="2"/>
      <c r="K169" s="2"/>
    </row>
    <row r="170" spans="1:11" ht="216.75" x14ac:dyDescent="0.25">
      <c r="A170" s="22">
        <v>43160</v>
      </c>
      <c r="B170" s="58" t="str">
        <f t="shared" ref="B170:B171" si="4">HYPERLINK("http://librarycompany.org","Library Company of Philadelphia")</f>
        <v>Library Company of Philadelphia</v>
      </c>
      <c r="C170" s="58" t="str">
        <f>HYPERLINK("http://librarycompany.org/academic-programs/fellowships/application/","Mellon Scholars Fellowship Program")</f>
        <v>Mellon Scholars Fellowship Program</v>
      </c>
      <c r="D170" s="39" t="s">
        <v>143</v>
      </c>
      <c r="E170" s="39" t="s">
        <v>21</v>
      </c>
      <c r="F170" s="39"/>
      <c r="G170" s="39" t="s">
        <v>479</v>
      </c>
      <c r="H170" s="3" t="s">
        <v>480</v>
      </c>
      <c r="I170" s="39" t="s">
        <v>478</v>
      </c>
      <c r="J170" s="2"/>
      <c r="K170" s="2"/>
    </row>
    <row r="171" spans="1:11" ht="127.5" x14ac:dyDescent="0.25">
      <c r="A171" s="22">
        <v>43160</v>
      </c>
      <c r="B171" s="58" t="str">
        <f t="shared" si="4"/>
        <v>Library Company of Philadelphia</v>
      </c>
      <c r="C171" s="58" t="str">
        <f>HYPERLINK("http://librarycompany.org/academic-programs/fellowships/short-term/","Short-Term Fellowships")</f>
        <v>Short-Term Fellowships</v>
      </c>
      <c r="D171" s="39" t="s">
        <v>143</v>
      </c>
      <c r="E171" s="39" t="s">
        <v>21</v>
      </c>
      <c r="F171" s="39"/>
      <c r="G171" s="50">
        <v>2000</v>
      </c>
      <c r="H171" s="3" t="s">
        <v>481</v>
      </c>
      <c r="I171" s="39" t="s">
        <v>478</v>
      </c>
      <c r="J171" s="2"/>
      <c r="K171" s="2"/>
    </row>
    <row r="172" spans="1:11" ht="242.25" x14ac:dyDescent="0.25">
      <c r="A172" s="22">
        <v>43160</v>
      </c>
      <c r="B172" s="58" t="s">
        <v>482</v>
      </c>
      <c r="C172" s="58" t="s">
        <v>483</v>
      </c>
      <c r="D172" s="39" t="s">
        <v>11</v>
      </c>
      <c r="E172" s="39" t="s">
        <v>258</v>
      </c>
      <c r="F172" s="40"/>
      <c r="G172" s="39" t="s">
        <v>484</v>
      </c>
      <c r="H172" s="3" t="s">
        <v>485</v>
      </c>
      <c r="I172" s="39" t="s">
        <v>486</v>
      </c>
      <c r="J172" s="2"/>
      <c r="K172" s="2"/>
    </row>
    <row r="173" spans="1:11" ht="114.75" x14ac:dyDescent="0.25">
      <c r="A173" s="22">
        <v>43160</v>
      </c>
      <c r="B173" s="58" t="str">
        <f>HYPERLINK("https://www.folger.edu/","Folger Shakespeare Library")</f>
        <v>Folger Shakespeare Library</v>
      </c>
      <c r="C173" s="58" t="str">
        <f>HYPERLINK("https://www.folger.edu/about-fellowships","Short Term Fellowship")</f>
        <v>Short Term Fellowship</v>
      </c>
      <c r="D173" s="39" t="s">
        <v>487</v>
      </c>
      <c r="E173" s="39" t="s">
        <v>21</v>
      </c>
      <c r="F173" s="39"/>
      <c r="G173" s="39" t="s">
        <v>488</v>
      </c>
      <c r="H173" s="3" t="s">
        <v>489</v>
      </c>
      <c r="I173" s="39" t="s">
        <v>478</v>
      </c>
      <c r="J173" s="2"/>
      <c r="K173" s="2"/>
    </row>
    <row r="174" spans="1:11" ht="90" x14ac:dyDescent="0.25">
      <c r="A174" s="22">
        <v>43160</v>
      </c>
      <c r="B174" s="58" t="s">
        <v>490</v>
      </c>
      <c r="C174" s="58" t="s">
        <v>491</v>
      </c>
      <c r="D174" s="39" t="s">
        <v>345</v>
      </c>
      <c r="E174" s="39" t="s">
        <v>154</v>
      </c>
      <c r="F174" s="39"/>
      <c r="G174" s="39" t="s">
        <v>492</v>
      </c>
      <c r="H174" s="10" t="s">
        <v>493</v>
      </c>
      <c r="I174" s="39" t="s">
        <v>494</v>
      </c>
      <c r="J174" s="2"/>
      <c r="K174" s="2"/>
    </row>
    <row r="175" spans="1:11" ht="89.25" x14ac:dyDescent="0.25">
      <c r="A175" s="22">
        <v>43160</v>
      </c>
      <c r="B175" s="58" t="s">
        <v>495</v>
      </c>
      <c r="C175" s="58" t="str">
        <f>HYPERLINK("https://iias.asia/page/iias-fellowship-application","IIAS Fellowship")</f>
        <v>IIAS Fellowship</v>
      </c>
      <c r="D175" s="39" t="s">
        <v>127</v>
      </c>
      <c r="E175" s="39" t="s">
        <v>21</v>
      </c>
      <c r="F175" s="39"/>
      <c r="G175" s="39" t="s">
        <v>496</v>
      </c>
      <c r="H175" s="3" t="s">
        <v>497</v>
      </c>
      <c r="I175" s="39" t="s">
        <v>478</v>
      </c>
      <c r="J175" s="11"/>
      <c r="K175" s="11"/>
    </row>
    <row r="176" spans="1:11" ht="165.75" x14ac:dyDescent="0.25">
      <c r="A176" s="22">
        <v>43160</v>
      </c>
      <c r="B176" s="58" t="s">
        <v>498</v>
      </c>
      <c r="C176" s="58" t="str">
        <f>HYPERLINK("https://www.wilsoncenter.org/kennan-institute-fellowships-and-internships","Kennan Institute Scholarships and Fellowships ")</f>
        <v xml:space="preserve">Kennan Institute Scholarships and Fellowships </v>
      </c>
      <c r="D176" s="39" t="s">
        <v>292</v>
      </c>
      <c r="E176" s="39" t="s">
        <v>21</v>
      </c>
      <c r="F176" s="39"/>
      <c r="G176" s="39" t="s">
        <v>499</v>
      </c>
      <c r="H176" s="3" t="s">
        <v>500</v>
      </c>
      <c r="I176" s="39" t="s">
        <v>478</v>
      </c>
      <c r="J176" s="2"/>
      <c r="K176" s="2"/>
    </row>
    <row r="177" spans="1:11" ht="204" x14ac:dyDescent="0.25">
      <c r="A177" s="22">
        <v>43160</v>
      </c>
      <c r="B177" s="58" t="str">
        <f>HYPERLINK("https://www.nih.gov/","National Institutes of Health ")</f>
        <v xml:space="preserve">National Institutes of Health </v>
      </c>
      <c r="C177" s="58" t="s">
        <v>501</v>
      </c>
      <c r="D177" s="39" t="s">
        <v>19</v>
      </c>
      <c r="E177" s="39" t="s">
        <v>132</v>
      </c>
      <c r="F177" s="39"/>
      <c r="G177" s="39"/>
      <c r="H177" s="3" t="s">
        <v>502</v>
      </c>
      <c r="I177" s="39" t="s">
        <v>478</v>
      </c>
      <c r="J177" s="2"/>
      <c r="K177" s="2"/>
    </row>
    <row r="178" spans="1:11" ht="89.25" x14ac:dyDescent="0.25">
      <c r="A178" s="22">
        <v>43160</v>
      </c>
      <c r="B178" s="58" t="str">
        <f>HYPERLINK("http://saba.abainternational.org/","Society for the Advancement of Behavioral Analysis")</f>
        <v>Society for the Advancement of Behavioral Analysis</v>
      </c>
      <c r="C178" s="58" t="s">
        <v>503</v>
      </c>
      <c r="D178" s="39" t="s">
        <v>504</v>
      </c>
      <c r="E178" s="39"/>
      <c r="F178" s="39"/>
      <c r="G178" s="50">
        <v>1000</v>
      </c>
      <c r="H178" s="3" t="s">
        <v>505</v>
      </c>
      <c r="I178" s="39" t="s">
        <v>478</v>
      </c>
      <c r="J178" s="2"/>
      <c r="K178" s="2"/>
    </row>
    <row r="179" spans="1:11" ht="140.25" x14ac:dyDescent="0.25">
      <c r="A179" s="22">
        <v>43160</v>
      </c>
      <c r="B179" s="58" t="s">
        <v>506</v>
      </c>
      <c r="C179" s="58" t="s">
        <v>507</v>
      </c>
      <c r="D179" s="39" t="s">
        <v>508</v>
      </c>
      <c r="E179" s="39" t="s">
        <v>509</v>
      </c>
      <c r="F179" s="39"/>
      <c r="G179" s="39" t="s">
        <v>510</v>
      </c>
      <c r="H179" s="3" t="s">
        <v>511</v>
      </c>
      <c r="I179" s="39" t="s">
        <v>512</v>
      </c>
      <c r="J179" s="2"/>
      <c r="K179" s="2"/>
    </row>
    <row r="180" spans="1:11" ht="293.25" x14ac:dyDescent="0.25">
      <c r="A180" s="22">
        <v>43160</v>
      </c>
      <c r="B180" s="58" t="s">
        <v>513</v>
      </c>
      <c r="C180" s="58" t="str">
        <f>HYPERLINK("https://www.opensocietyfoundations.org/grants/open-society-fellowship","Open Society Fellowship")</f>
        <v>Open Society Fellowship</v>
      </c>
      <c r="D180" s="39" t="s">
        <v>111</v>
      </c>
      <c r="E180" s="39" t="s">
        <v>73</v>
      </c>
      <c r="F180" s="39"/>
      <c r="G180" s="39"/>
      <c r="H180" s="3" t="s">
        <v>514</v>
      </c>
      <c r="I180" s="39" t="s">
        <v>45</v>
      </c>
      <c r="J180" s="2"/>
      <c r="K180" s="2"/>
    </row>
    <row r="181" spans="1:11" ht="114.75" x14ac:dyDescent="0.25">
      <c r="A181" s="22">
        <v>43160</v>
      </c>
      <c r="B181" s="58" t="str">
        <f>HYPERLINK("https://www.archaeological.org/","Archeological Institute of America")</f>
        <v>Archeological Institute of America</v>
      </c>
      <c r="C181" s="61" t="str">
        <f>HYPERLINK("https://www.archaeological.org/grants/9891","Samuel H. Kress Grant for Research and Publication in Classical Art and Architecture")</f>
        <v>Samuel H. Kress Grant for Research and Publication in Classical Art and Architecture</v>
      </c>
      <c r="D181" s="39" t="s">
        <v>94</v>
      </c>
      <c r="E181" s="39" t="s">
        <v>515</v>
      </c>
      <c r="F181" s="39"/>
      <c r="G181" s="50">
        <v>3000</v>
      </c>
      <c r="H181" s="3" t="s">
        <v>516</v>
      </c>
      <c r="I181" s="39"/>
      <c r="J181" s="2"/>
      <c r="K181" s="2"/>
    </row>
    <row r="182" spans="1:11" ht="178.5" x14ac:dyDescent="0.25">
      <c r="A182" s="22">
        <v>43160</v>
      </c>
      <c r="B182" s="58" t="s">
        <v>517</v>
      </c>
      <c r="C182" s="58" t="str">
        <f>HYPERLINK("https://www.kettering.org/shared-learning/katherine-w-fanning-residency-journalism-democracy","Katherine W. Fanning Residency in Journalism &amp; Democracy ")</f>
        <v xml:space="preserve">Katherine W. Fanning Residency in Journalism &amp; Democracy </v>
      </c>
      <c r="D182" s="39" t="s">
        <v>328</v>
      </c>
      <c r="E182" s="39" t="s">
        <v>154</v>
      </c>
      <c r="F182" s="39"/>
      <c r="G182" s="39" t="s">
        <v>518</v>
      </c>
      <c r="H182" s="3" t="s">
        <v>519</v>
      </c>
      <c r="I182" s="39">
        <v>2.1800000000000002</v>
      </c>
      <c r="J182" s="11"/>
      <c r="K182" s="11"/>
    </row>
    <row r="183" spans="1:11" ht="102" x14ac:dyDescent="0.25">
      <c r="A183" s="22">
        <v>43161</v>
      </c>
      <c r="B183" s="58" t="s">
        <v>55</v>
      </c>
      <c r="C183" s="58" t="str">
        <f>HYPERLINK("https://www.amphilsoc.org/grants/digital-humanities-fellowships","Digital Humanities Fellowship")</f>
        <v>Digital Humanities Fellowship</v>
      </c>
      <c r="D183" s="39" t="s">
        <v>11</v>
      </c>
      <c r="E183" s="39" t="s">
        <v>21</v>
      </c>
      <c r="F183" s="39"/>
      <c r="G183" s="50">
        <v>3000</v>
      </c>
      <c r="H183" s="3" t="s">
        <v>520</v>
      </c>
      <c r="I183" s="39" t="s">
        <v>478</v>
      </c>
      <c r="J183" s="2"/>
      <c r="K183" s="2"/>
    </row>
    <row r="184" spans="1:11" ht="255" x14ac:dyDescent="0.25">
      <c r="A184" s="22">
        <v>43161</v>
      </c>
      <c r="B184" s="58" t="s">
        <v>521</v>
      </c>
      <c r="C184" s="58" t="str">
        <f>HYPERLINK("http://www.midatlanticarts.org/grants-programs/grants-for-organizations/#artsconnect","ArtsCONNECT")</f>
        <v>ArtsCONNECT</v>
      </c>
      <c r="D184" s="39" t="s">
        <v>286</v>
      </c>
      <c r="E184" s="39" t="s">
        <v>258</v>
      </c>
      <c r="F184" s="39"/>
      <c r="G184" s="39" t="s">
        <v>522</v>
      </c>
      <c r="H184" s="3" t="s">
        <v>523</v>
      </c>
      <c r="I184" s="39" t="s">
        <v>478</v>
      </c>
      <c r="J184" s="2"/>
      <c r="K184" s="2"/>
    </row>
    <row r="185" spans="1:11" ht="102" x14ac:dyDescent="0.25">
      <c r="A185" s="22">
        <v>43161</v>
      </c>
      <c r="B185" s="58" t="str">
        <f>HYPERLINK("https://www.archaeological.org/","Archeological Institute of America")</f>
        <v>Archeological Institute of America</v>
      </c>
      <c r="C185" s="61" t="str">
        <f>HYPERLINK("https://www.archaeological.org/grants/711","Publications Subvention Program")</f>
        <v>Publications Subvention Program</v>
      </c>
      <c r="D185" s="39" t="s">
        <v>94</v>
      </c>
      <c r="E185" s="39" t="s">
        <v>515</v>
      </c>
      <c r="F185" s="39"/>
      <c r="G185" s="50">
        <v>5000</v>
      </c>
      <c r="H185" s="3" t="s">
        <v>524</v>
      </c>
      <c r="I185" s="39"/>
      <c r="J185" s="2"/>
      <c r="K185" s="2"/>
    </row>
    <row r="186" spans="1:11" ht="178.5" x14ac:dyDescent="0.25">
      <c r="A186" s="22">
        <v>43165</v>
      </c>
      <c r="B186" s="58" t="str">
        <f>HYPERLINK("https://www.knightfoundation.org/","Knight Foundation")</f>
        <v>Knight Foundation</v>
      </c>
      <c r="C186" s="58" t="str">
        <f>HYPERLINK("https://www.knightfoundation.org/articles/how-can-we-use-technology-to-connect-people-to-the-arts-knight-seeks-ideas","Knight Prototype Fund")</f>
        <v>Knight Prototype Fund</v>
      </c>
      <c r="D186" s="39" t="s">
        <v>11</v>
      </c>
      <c r="E186" s="39" t="s">
        <v>150</v>
      </c>
      <c r="F186" s="40"/>
      <c r="G186" s="50">
        <v>50000</v>
      </c>
      <c r="H186" s="3" t="s">
        <v>525</v>
      </c>
      <c r="I186" s="40"/>
      <c r="J186" s="2"/>
      <c r="K186" s="2"/>
    </row>
    <row r="187" spans="1:11" ht="102" x14ac:dyDescent="0.25">
      <c r="A187" s="22">
        <v>43166</v>
      </c>
      <c r="B187" s="58" t="str">
        <f>HYPERLINK("https://www.arts.gov/","National Endowment for the Arts")</f>
        <v>National Endowment for the Arts</v>
      </c>
      <c r="C187" s="58" t="str">
        <f>HYPERLINK("https://www.arts.gov/grants-individuals/creative-writing-fellowships","Creative Writing Fellowships")</f>
        <v>Creative Writing Fellowships</v>
      </c>
      <c r="D187" s="39" t="s">
        <v>37</v>
      </c>
      <c r="E187" s="39" t="s">
        <v>73</v>
      </c>
      <c r="F187" s="39"/>
      <c r="G187" s="50">
        <v>25000</v>
      </c>
      <c r="H187" s="3" t="s">
        <v>526</v>
      </c>
      <c r="I187" s="39" t="s">
        <v>527</v>
      </c>
      <c r="J187" s="2"/>
      <c r="K187" s="2"/>
    </row>
    <row r="188" spans="1:11" ht="89.25" x14ac:dyDescent="0.25">
      <c r="A188" s="22">
        <v>43171</v>
      </c>
      <c r="B188" s="58" t="s">
        <v>528</v>
      </c>
      <c r="C188" s="58" t="str">
        <f>HYPERLINK("http://www.kauffman.org/what-we-do/entrepreneurship/entrepreneurship-scholars/kauffman-junior-faculty-fellowship-in-entrepreneurship-research","Faculty Fellowship in Entreprenneurship Research")</f>
        <v>Faculty Fellowship in Entreprenneurship Research</v>
      </c>
      <c r="D188" s="39" t="s">
        <v>16</v>
      </c>
      <c r="E188" s="39" t="s">
        <v>73</v>
      </c>
      <c r="F188" s="39" t="s">
        <v>92</v>
      </c>
      <c r="G188" s="39"/>
      <c r="H188" s="3" t="s">
        <v>529</v>
      </c>
      <c r="I188" s="39"/>
      <c r="J188" s="2"/>
      <c r="K188" s="2"/>
    </row>
    <row r="189" spans="1:11" ht="267.75" x14ac:dyDescent="0.25">
      <c r="A189" s="22">
        <v>43172</v>
      </c>
      <c r="B189" s="58" t="str">
        <f>HYPERLINK("https://www.neh.gov/","National Endowment for the Humanities")</f>
        <v>National Endowment for the Humanities</v>
      </c>
      <c r="C189" s="58" t="s">
        <v>530</v>
      </c>
      <c r="D189" s="39" t="s">
        <v>11</v>
      </c>
      <c r="E189" s="39" t="s">
        <v>132</v>
      </c>
      <c r="F189" s="40"/>
      <c r="G189" s="39"/>
      <c r="H189" s="3" t="s">
        <v>531</v>
      </c>
      <c r="I189" s="40"/>
      <c r="J189" s="2"/>
      <c r="K189" s="2"/>
    </row>
    <row r="190" spans="1:11" ht="140.25" x14ac:dyDescent="0.25">
      <c r="A190" s="22">
        <v>43173</v>
      </c>
      <c r="B190" s="58" t="str">
        <f>HYPERLINK("http://www.morrisanimalfoundation.org/","Morris Animal Foundation ")</f>
        <v xml:space="preserve">Morris Animal Foundation </v>
      </c>
      <c r="C190" s="58" t="str">
        <f>HYPERLINK("http://www.morrisanimalfoundation.org/researchers/","Small Companion Animal Grant")</f>
        <v>Small Companion Animal Grant</v>
      </c>
      <c r="D190" s="39" t="s">
        <v>19</v>
      </c>
      <c r="E190" s="39" t="s">
        <v>17</v>
      </c>
      <c r="F190" s="39"/>
      <c r="G190" s="39" t="s">
        <v>532</v>
      </c>
      <c r="H190" s="3" t="s">
        <v>533</v>
      </c>
      <c r="I190" s="39"/>
      <c r="J190" s="2"/>
      <c r="K190" s="2"/>
    </row>
    <row r="191" spans="1:11" ht="25.5" x14ac:dyDescent="0.25">
      <c r="A191" s="22">
        <v>43173</v>
      </c>
      <c r="B191" s="58" t="s">
        <v>534</v>
      </c>
      <c r="C191" s="60" t="s">
        <v>535</v>
      </c>
      <c r="D191" s="39" t="s">
        <v>19</v>
      </c>
      <c r="E191" s="39" t="s">
        <v>12</v>
      </c>
      <c r="F191" s="39"/>
      <c r="G191" s="39"/>
      <c r="H191" s="1" t="s">
        <v>13</v>
      </c>
      <c r="I191" s="39"/>
      <c r="J191" s="2"/>
      <c r="K191" s="2"/>
    </row>
    <row r="192" spans="1:11" ht="191.25" x14ac:dyDescent="0.25">
      <c r="A192" s="22">
        <v>43174</v>
      </c>
      <c r="B192" s="58" t="s">
        <v>536</v>
      </c>
      <c r="C192" s="58" t="str">
        <f>HYPERLINK("https://wp.stolaf.edu/kierkegaard/summer-fellows/","Summer Fellows Program for Research in Residence")</f>
        <v>Summer Fellows Program for Research in Residence</v>
      </c>
      <c r="D192" s="39" t="s">
        <v>537</v>
      </c>
      <c r="E192" s="39" t="s">
        <v>21</v>
      </c>
      <c r="F192" s="39"/>
      <c r="G192" s="39"/>
      <c r="H192" s="3" t="s">
        <v>538</v>
      </c>
      <c r="I192" s="39" t="s">
        <v>478</v>
      </c>
      <c r="J192" s="2"/>
      <c r="K192" s="2"/>
    </row>
    <row r="193" spans="1:11" ht="25.5" x14ac:dyDescent="0.25">
      <c r="A193" s="22">
        <v>43174</v>
      </c>
      <c r="B193" s="58" t="str">
        <f>HYPERLINK("http://www.apa.org/apf/index.aspx","American Psychological Association")</f>
        <v>American Psychological Association</v>
      </c>
      <c r="C193" s="58" t="s">
        <v>539</v>
      </c>
      <c r="D193" s="39" t="s">
        <v>19</v>
      </c>
      <c r="E193" s="39" t="s">
        <v>120</v>
      </c>
      <c r="F193" s="39" t="s">
        <v>92</v>
      </c>
      <c r="G193" s="39"/>
      <c r="H193" s="1" t="s">
        <v>13</v>
      </c>
      <c r="I193" s="39" t="s">
        <v>540</v>
      </c>
      <c r="J193" s="2"/>
      <c r="K193" s="2"/>
    </row>
    <row r="194" spans="1:11" ht="127.5" x14ac:dyDescent="0.25">
      <c r="A194" s="22">
        <v>43174</v>
      </c>
      <c r="B194" s="58" t="s">
        <v>541</v>
      </c>
      <c r="C194" s="58" t="s">
        <v>542</v>
      </c>
      <c r="D194" s="39" t="s">
        <v>328</v>
      </c>
      <c r="E194" s="39" t="s">
        <v>543</v>
      </c>
      <c r="F194" s="39"/>
      <c r="G194" s="39"/>
      <c r="H194" s="3" t="s">
        <v>544</v>
      </c>
      <c r="I194" s="39" t="s">
        <v>478</v>
      </c>
      <c r="J194" s="2"/>
      <c r="K194" s="2"/>
    </row>
    <row r="195" spans="1:11" ht="102" x14ac:dyDescent="0.25">
      <c r="A195" s="22">
        <v>43175</v>
      </c>
      <c r="B195" s="58" t="s">
        <v>545</v>
      </c>
      <c r="C195" s="58" t="str">
        <f>HYPERLINK("https://www.acs.org/content/acs/en/funding-and-awards/grants/prf/programs/ur.html","Undergraduate Research")</f>
        <v>Undergraduate Research</v>
      </c>
      <c r="D195" s="39" t="s">
        <v>211</v>
      </c>
      <c r="E195" s="39" t="s">
        <v>17</v>
      </c>
      <c r="F195" s="39"/>
      <c r="G195" s="39" t="s">
        <v>546</v>
      </c>
      <c r="H195" s="3" t="s">
        <v>547</v>
      </c>
      <c r="I195" s="39" t="s">
        <v>494</v>
      </c>
      <c r="J195" s="12"/>
      <c r="K195" s="13"/>
    </row>
    <row r="196" spans="1:11" ht="180.75" x14ac:dyDescent="0.25">
      <c r="A196" s="22">
        <v>43175</v>
      </c>
      <c r="B196" s="58" t="s">
        <v>545</v>
      </c>
      <c r="C196" s="58" t="str">
        <f>HYPERLINK("https://www.acs.org/content/acs/en/funding-and-awards/grants/prf/programs/uni.html","Undergraduate New Investigator Grants")</f>
        <v>Undergraduate New Investigator Grants</v>
      </c>
      <c r="D196" s="39" t="s">
        <v>211</v>
      </c>
      <c r="E196" s="39" t="s">
        <v>17</v>
      </c>
      <c r="F196" s="39"/>
      <c r="G196" s="39" t="s">
        <v>546</v>
      </c>
      <c r="H196" s="3" t="s">
        <v>548</v>
      </c>
      <c r="I196" s="39" t="s">
        <v>494</v>
      </c>
      <c r="J196" s="2"/>
      <c r="K196" s="2"/>
    </row>
    <row r="197" spans="1:11" ht="216.75" x14ac:dyDescent="0.25">
      <c r="A197" s="22">
        <v>43175</v>
      </c>
      <c r="B197" s="58" t="str">
        <f>HYPERLINK("https://www.ned.org/","National Endowment for Democracy")</f>
        <v>National Endowment for Democracy</v>
      </c>
      <c r="C197" s="58" t="str">
        <f>HYPERLINK("https://www.ned.org/apply-for-grant/en/","Grants")</f>
        <v>Grants</v>
      </c>
      <c r="D197" s="39" t="s">
        <v>111</v>
      </c>
      <c r="E197" s="39" t="s">
        <v>549</v>
      </c>
      <c r="F197" s="40"/>
      <c r="G197" s="39" t="s">
        <v>532</v>
      </c>
      <c r="H197" s="3" t="s">
        <v>550</v>
      </c>
      <c r="I197" s="39" t="s">
        <v>551</v>
      </c>
      <c r="J197" s="2"/>
      <c r="K197" s="2"/>
    </row>
    <row r="198" spans="1:11" ht="114.75" x14ac:dyDescent="0.25">
      <c r="A198" s="22">
        <v>43178</v>
      </c>
      <c r="B198" s="58" t="str">
        <f>HYPERLINK("http://presidentialscholars.columbia.edu/","Columbia University Presidential Scholars in Society and Neuroscience")</f>
        <v>Columbia University Presidential Scholars in Society and Neuroscience</v>
      </c>
      <c r="C198" s="58" t="str">
        <f>HYPERLINK("http://presidentialscholars.columbia.edu/loi-seed-grants-2018/","Faculty Seed Grants for Interdisciplinary Projects in Society and Neuroscience")</f>
        <v>Faculty Seed Grants for Interdisciplinary Projects in Society and Neuroscience</v>
      </c>
      <c r="D198" s="39" t="s">
        <v>552</v>
      </c>
      <c r="E198" s="39"/>
      <c r="F198" s="40" t="s">
        <v>553</v>
      </c>
      <c r="G198" s="40" t="s">
        <v>554</v>
      </c>
      <c r="H198" s="14" t="s">
        <v>555</v>
      </c>
      <c r="I198" s="39" t="s">
        <v>494</v>
      </c>
      <c r="J198" s="2"/>
      <c r="K198" s="2"/>
    </row>
    <row r="199" spans="1:11" ht="178.5" x14ac:dyDescent="0.25">
      <c r="A199" s="22">
        <v>43180</v>
      </c>
      <c r="B199" s="58" t="s">
        <v>64</v>
      </c>
      <c r="C199" s="58" t="s">
        <v>556</v>
      </c>
      <c r="D199" s="39" t="s">
        <v>66</v>
      </c>
      <c r="E199" s="39" t="s">
        <v>21</v>
      </c>
      <c r="F199" s="39" t="s">
        <v>67</v>
      </c>
      <c r="G199" s="39" t="s">
        <v>557</v>
      </c>
      <c r="H199" s="3" t="s">
        <v>558</v>
      </c>
      <c r="I199" s="39" t="s">
        <v>494</v>
      </c>
      <c r="J199" s="2"/>
      <c r="K199" s="2"/>
    </row>
    <row r="200" spans="1:11" ht="204" x14ac:dyDescent="0.25">
      <c r="A200" s="22">
        <v>43182</v>
      </c>
      <c r="B200" s="58" t="str">
        <f>HYPERLINK("http://frenchhistorysociety.co.uk/index.htm","Society for the Study of French History ")</f>
        <v xml:space="preserve">Society for the Study of French History </v>
      </c>
      <c r="C200" s="58" t="str">
        <f>HYPERLINK("http://frenchhistorysociety.co.uk/visiting_scholars.htm","Visiting Scholars Scheme")</f>
        <v>Visiting Scholars Scheme</v>
      </c>
      <c r="D200" s="39" t="s">
        <v>20</v>
      </c>
      <c r="E200" s="39" t="s">
        <v>21</v>
      </c>
      <c r="F200" s="39"/>
      <c r="G200" s="39" t="s">
        <v>559</v>
      </c>
      <c r="H200" s="3" t="s">
        <v>560</v>
      </c>
      <c r="I200" s="39" t="s">
        <v>478</v>
      </c>
      <c r="J200" s="2"/>
      <c r="K200" s="2"/>
    </row>
    <row r="201" spans="1:11" ht="242.25" x14ac:dyDescent="0.25">
      <c r="A201" s="22">
        <v>43185</v>
      </c>
      <c r="B201" s="58" t="str">
        <f>HYPERLINK("http://www.quaibranly.fr/en/","Musée du quai Branly – Jacques Chirac")</f>
        <v>Musée du quai Branly – Jacques Chirac</v>
      </c>
      <c r="C201" s="58" t="s">
        <v>561</v>
      </c>
      <c r="D201" s="39" t="s">
        <v>16</v>
      </c>
      <c r="E201" s="39" t="s">
        <v>562</v>
      </c>
      <c r="F201" s="39" t="s">
        <v>563</v>
      </c>
      <c r="G201" s="53" t="s">
        <v>564</v>
      </c>
      <c r="H201" s="3" t="s">
        <v>565</v>
      </c>
      <c r="I201" s="39" t="s">
        <v>494</v>
      </c>
      <c r="J201" s="2"/>
      <c r="K201" s="2"/>
    </row>
    <row r="202" spans="1:11" ht="114.75" x14ac:dyDescent="0.25">
      <c r="A202" s="22">
        <v>43185</v>
      </c>
      <c r="B202" s="58" t="s">
        <v>188</v>
      </c>
      <c r="C202" s="58" t="s">
        <v>566</v>
      </c>
      <c r="D202" s="39" t="s">
        <v>179</v>
      </c>
      <c r="E202" s="39" t="s">
        <v>12</v>
      </c>
      <c r="F202" s="39"/>
      <c r="G202" s="39"/>
      <c r="H202" s="3" t="s">
        <v>567</v>
      </c>
      <c r="I202" s="39" t="s">
        <v>478</v>
      </c>
      <c r="J202" s="2"/>
      <c r="K202" s="2"/>
    </row>
    <row r="203" spans="1:11" ht="63.75" x14ac:dyDescent="0.25">
      <c r="A203" s="22">
        <v>43187</v>
      </c>
      <c r="B203" s="58" t="str">
        <f>HYPERLINK("http://cavecanempoets.org/","Cave Canem")</f>
        <v>Cave Canem</v>
      </c>
      <c r="C203" s="58" t="str">
        <f>HYPERLINK("http://cavecanempoets.org/residencies-for-fellows/community-of-writers-at-squaw-valley/","Community of Writers at Squaw Valley Workshop Scholarships")</f>
        <v>Community of Writers at Squaw Valley Workshop Scholarships</v>
      </c>
      <c r="D203" s="39" t="s">
        <v>37</v>
      </c>
      <c r="E203" s="39" t="s">
        <v>309</v>
      </c>
      <c r="F203" s="39"/>
      <c r="G203" s="50">
        <v>1565</v>
      </c>
      <c r="H203" s="3" t="s">
        <v>568</v>
      </c>
      <c r="I203" s="39"/>
      <c r="J203" s="2"/>
      <c r="K203" s="2"/>
    </row>
    <row r="204" spans="1:11" ht="216.75" x14ac:dyDescent="0.25">
      <c r="A204" s="22">
        <v>43189</v>
      </c>
      <c r="B204" s="58" t="str">
        <f>HYPERLINK("http://turkishstudies.org/","Institute of Turkish Studies")</f>
        <v>Institute of Turkish Studies</v>
      </c>
      <c r="C204" s="58" t="str">
        <f>HYPERLINK("http://turkishstudies.org/grants/grants_competition.shtml","Grants in Turkish and Ottoman Studies for Publication of Scholarly Books and Journals, Academic Conferences, and Teaching Aids")</f>
        <v>Grants in Turkish and Ottoman Studies for Publication of Scholarly Books and Journals, Academic Conferences, and Teaching Aids</v>
      </c>
      <c r="D204" s="39" t="s">
        <v>76</v>
      </c>
      <c r="E204" s="39" t="s">
        <v>569</v>
      </c>
      <c r="F204" s="39"/>
      <c r="G204" s="39" t="s">
        <v>570</v>
      </c>
      <c r="H204" s="3" t="s">
        <v>571</v>
      </c>
      <c r="I204" s="39" t="s">
        <v>478</v>
      </c>
      <c r="J204" s="2"/>
      <c r="K204" s="2"/>
    </row>
    <row r="205" spans="1:11" ht="102" x14ac:dyDescent="0.25">
      <c r="A205" s="23">
        <v>43190</v>
      </c>
      <c r="B205" s="61" t="str">
        <f>HYPERLINK("https://hornefamilyfoundation.org/","Horne Family Foundation")</f>
        <v>Horne Family Foundation</v>
      </c>
      <c r="C205" s="61" t="str">
        <f>HYPERLINK("https://hornefamilyfoundation.org/grant-applicants/","Grants")</f>
        <v>Grants</v>
      </c>
      <c r="D205" s="41" t="s">
        <v>572</v>
      </c>
      <c r="E205" s="41" t="s">
        <v>573</v>
      </c>
      <c r="F205" s="41"/>
      <c r="G205" s="41" t="s">
        <v>574</v>
      </c>
      <c r="H205" s="15" t="s">
        <v>575</v>
      </c>
      <c r="I205" s="41"/>
      <c r="J205" s="5"/>
      <c r="K205" s="5"/>
    </row>
    <row r="206" spans="1:11" ht="51" x14ac:dyDescent="0.25">
      <c r="A206" s="22">
        <v>43190</v>
      </c>
      <c r="B206" s="58" t="s">
        <v>576</v>
      </c>
      <c r="C206" s="58" t="s">
        <v>577</v>
      </c>
      <c r="D206" s="39" t="s">
        <v>16</v>
      </c>
      <c r="E206" s="39" t="s">
        <v>578</v>
      </c>
      <c r="F206" s="39"/>
      <c r="G206" s="39"/>
      <c r="H206" s="3" t="s">
        <v>579</v>
      </c>
      <c r="I206" s="39"/>
      <c r="J206" s="2"/>
      <c r="K206" s="2"/>
    </row>
    <row r="207" spans="1:11" ht="178.5" x14ac:dyDescent="0.25">
      <c r="A207" s="22">
        <v>43190</v>
      </c>
      <c r="B207" s="58" t="s">
        <v>580</v>
      </c>
      <c r="C207" s="58" t="s">
        <v>581</v>
      </c>
      <c r="D207" s="39" t="s">
        <v>16</v>
      </c>
      <c r="E207" s="39" t="s">
        <v>73</v>
      </c>
      <c r="F207" s="39"/>
      <c r="G207" s="39" t="s">
        <v>582</v>
      </c>
      <c r="H207" s="3" t="s">
        <v>583</v>
      </c>
      <c r="I207" s="39" t="s">
        <v>45</v>
      </c>
      <c r="J207" s="2"/>
      <c r="K207" s="2"/>
    </row>
    <row r="208" spans="1:11" ht="102.75" x14ac:dyDescent="0.25">
      <c r="A208" s="22">
        <v>43190</v>
      </c>
      <c r="B208" s="58" t="str">
        <f>HYPERLINK("http://www.botstiber.org/austrian/","Botstiber Institute for Austrian-American Studies")</f>
        <v>Botstiber Institute for Austrian-American Studies</v>
      </c>
      <c r="C208" s="58" t="s">
        <v>584</v>
      </c>
      <c r="D208" s="39" t="s">
        <v>20</v>
      </c>
      <c r="E208" s="39" t="s">
        <v>585</v>
      </c>
      <c r="F208" s="39"/>
      <c r="G208" s="39" t="s">
        <v>102</v>
      </c>
      <c r="H208" s="16" t="s">
        <v>586</v>
      </c>
      <c r="I208" s="39" t="s">
        <v>494</v>
      </c>
      <c r="J208" s="2"/>
      <c r="K208" s="2"/>
    </row>
    <row r="209" spans="1:11" ht="140.25" x14ac:dyDescent="0.25">
      <c r="A209" s="22">
        <v>43190</v>
      </c>
      <c r="B209" s="58" t="s">
        <v>587</v>
      </c>
      <c r="C209" s="58" t="s">
        <v>588</v>
      </c>
      <c r="D209" s="39" t="s">
        <v>589</v>
      </c>
      <c r="E209" s="39" t="s">
        <v>132</v>
      </c>
      <c r="F209" s="39"/>
      <c r="G209" s="39"/>
      <c r="H209" s="3" t="s">
        <v>590</v>
      </c>
      <c r="I209" s="39" t="s">
        <v>478</v>
      </c>
      <c r="J209" s="2"/>
      <c r="K209" s="2"/>
    </row>
    <row r="210" spans="1:11" ht="76.5" x14ac:dyDescent="0.25">
      <c r="A210" s="22">
        <v>43191</v>
      </c>
      <c r="B210" s="58" t="str">
        <f>HYPERLINK("http://www.kressfoundation.org/","Kress Foundation")</f>
        <v>Kress Foundation</v>
      </c>
      <c r="C210" s="58" t="str">
        <f>HYPERLINK("http://www.kressfoundation.org/fellowships/interpretive/","Interpretive Fellowships at Art Museums")</f>
        <v>Interpretive Fellowships at Art Museums</v>
      </c>
      <c r="D210" s="39" t="s">
        <v>66</v>
      </c>
      <c r="E210" s="39" t="s">
        <v>21</v>
      </c>
      <c r="F210" s="39" t="s">
        <v>92</v>
      </c>
      <c r="G210" s="50">
        <v>30000</v>
      </c>
      <c r="H210" s="3" t="s">
        <v>591</v>
      </c>
      <c r="I210" s="39" t="s">
        <v>478</v>
      </c>
      <c r="J210" s="2"/>
      <c r="K210" s="2"/>
    </row>
    <row r="211" spans="1:11" ht="153" x14ac:dyDescent="0.25">
      <c r="A211" s="22">
        <v>43191</v>
      </c>
      <c r="B211" s="58" t="str">
        <f>HYPERLINK("https://home.monticello.org/","The Jefferson Monticello")</f>
        <v>The Jefferson Monticello</v>
      </c>
      <c r="C211" s="58" t="str">
        <f>HYPERLINK("https://www.monticello.org/site/research-and-collections/batten-first-union-and-peter-nicolaisen-international-fellowships","Short Term Fellowships")</f>
        <v>Short Term Fellowships</v>
      </c>
      <c r="D211" s="39" t="s">
        <v>592</v>
      </c>
      <c r="E211" s="39" t="s">
        <v>21</v>
      </c>
      <c r="F211" s="39"/>
      <c r="G211" s="50" t="s">
        <v>593</v>
      </c>
      <c r="H211" s="3" t="s">
        <v>594</v>
      </c>
      <c r="I211" s="39" t="s">
        <v>494</v>
      </c>
      <c r="J211" s="2"/>
      <c r="K211" s="2"/>
    </row>
    <row r="212" spans="1:11" ht="63.75" x14ac:dyDescent="0.25">
      <c r="A212" s="22">
        <v>43191</v>
      </c>
      <c r="B212" s="58" t="s">
        <v>595</v>
      </c>
      <c r="C212" s="58" t="s">
        <v>596</v>
      </c>
      <c r="D212" s="39" t="s">
        <v>11</v>
      </c>
      <c r="E212" s="39" t="s">
        <v>21</v>
      </c>
      <c r="F212" s="39" t="s">
        <v>92</v>
      </c>
      <c r="G212" s="50">
        <v>5000</v>
      </c>
      <c r="H212" s="3" t="s">
        <v>597</v>
      </c>
      <c r="I212" s="39" t="s">
        <v>478</v>
      </c>
      <c r="J212" s="2"/>
      <c r="K212" s="2"/>
    </row>
    <row r="213" spans="1:11" ht="127.5" x14ac:dyDescent="0.25">
      <c r="A213" s="22">
        <v>43191</v>
      </c>
      <c r="B213" s="58" t="s">
        <v>267</v>
      </c>
      <c r="C213" s="58" t="s">
        <v>598</v>
      </c>
      <c r="D213" s="39" t="s">
        <v>11</v>
      </c>
      <c r="E213" s="39" t="s">
        <v>258</v>
      </c>
      <c r="F213" s="39"/>
      <c r="G213" s="39"/>
      <c r="H213" s="3" t="s">
        <v>599</v>
      </c>
      <c r="I213" s="39" t="s">
        <v>478</v>
      </c>
      <c r="J213" s="2"/>
      <c r="K213" s="2"/>
    </row>
    <row r="214" spans="1:11" ht="63.75" x14ac:dyDescent="0.25">
      <c r="A214" s="22">
        <v>43191</v>
      </c>
      <c r="B214" s="58" t="s">
        <v>600</v>
      </c>
      <c r="C214" s="58" t="s">
        <v>577</v>
      </c>
      <c r="D214" s="39" t="s">
        <v>33</v>
      </c>
      <c r="E214" s="39" t="s">
        <v>601</v>
      </c>
      <c r="F214" s="39"/>
      <c r="G214" s="39"/>
      <c r="H214" s="3" t="s">
        <v>602</v>
      </c>
      <c r="I214" s="39" t="s">
        <v>603</v>
      </c>
      <c r="J214" s="2"/>
      <c r="K214" s="2"/>
    </row>
    <row r="215" spans="1:11" ht="89.25" x14ac:dyDescent="0.25">
      <c r="A215" s="22">
        <v>43191</v>
      </c>
      <c r="B215" s="58" t="str">
        <f>HYPERLINK("http://www.fahsbeckfund.org","Fahs-Beck Fund")</f>
        <v>Fahs-Beck Fund</v>
      </c>
      <c r="C215" s="58" t="s">
        <v>604</v>
      </c>
      <c r="D215" s="39" t="s">
        <v>16</v>
      </c>
      <c r="E215" s="39" t="s">
        <v>17</v>
      </c>
      <c r="F215" s="39"/>
      <c r="G215" s="39" t="s">
        <v>605</v>
      </c>
      <c r="H215" s="3" t="s">
        <v>606</v>
      </c>
      <c r="I215" s="39" t="s">
        <v>478</v>
      </c>
      <c r="J215" s="2"/>
      <c r="K215" s="2"/>
    </row>
    <row r="216" spans="1:11" ht="102" x14ac:dyDescent="0.25">
      <c r="A216" s="22">
        <v>43191</v>
      </c>
      <c r="B216" s="58" t="str">
        <f>HYPERLINK("http://www.thelawrencefoundation.org/","Lawrence Foundation")</f>
        <v>Lawrence Foundation</v>
      </c>
      <c r="C216" s="59" t="s">
        <v>607</v>
      </c>
      <c r="D216" s="39" t="s">
        <v>16</v>
      </c>
      <c r="E216" s="39" t="s">
        <v>608</v>
      </c>
      <c r="F216" s="39"/>
      <c r="G216" s="39"/>
      <c r="H216" s="3" t="s">
        <v>609</v>
      </c>
      <c r="I216" s="39" t="s">
        <v>478</v>
      </c>
      <c r="J216" s="2"/>
      <c r="K216" s="2"/>
    </row>
    <row r="217" spans="1:11" ht="191.25" x14ac:dyDescent="0.25">
      <c r="A217" s="22">
        <v>43191</v>
      </c>
      <c r="B217" s="61" t="str">
        <f>HYPERLINK("https://www.historians.org","American Historical Association")</f>
        <v>American Historical Association</v>
      </c>
      <c r="C217" s="58" t="str">
        <f>HYPERLINK("https://www.historians.org/awards-and-grants/grants-and-fellowships/fellowships-in-aerospace-history","Fellowship in Aerospace History")</f>
        <v>Fellowship in Aerospace History</v>
      </c>
      <c r="D217" s="39" t="s">
        <v>610</v>
      </c>
      <c r="E217" s="39" t="s">
        <v>465</v>
      </c>
      <c r="F217" s="39"/>
      <c r="G217" s="50" t="s">
        <v>611</v>
      </c>
      <c r="H217" s="3" t="s">
        <v>612</v>
      </c>
      <c r="I217" s="39" t="s">
        <v>45</v>
      </c>
      <c r="J217" s="2"/>
      <c r="K217" s="2"/>
    </row>
    <row r="218" spans="1:11" ht="204" x14ac:dyDescent="0.25">
      <c r="A218" s="22">
        <v>43191</v>
      </c>
      <c r="B218" s="58" t="s">
        <v>214</v>
      </c>
      <c r="C218" s="58" t="s">
        <v>613</v>
      </c>
      <c r="D218" s="39" t="s">
        <v>19</v>
      </c>
      <c r="E218" s="39" t="s">
        <v>17</v>
      </c>
      <c r="F218" s="39" t="s">
        <v>614</v>
      </c>
      <c r="G218" s="39" t="s">
        <v>605</v>
      </c>
      <c r="H218" s="3" t="s">
        <v>615</v>
      </c>
      <c r="I218" s="39" t="s">
        <v>216</v>
      </c>
      <c r="J218" s="2"/>
      <c r="K218" s="2"/>
    </row>
    <row r="219" spans="1:11" ht="357" x14ac:dyDescent="0.25">
      <c r="A219" s="22">
        <v>43191</v>
      </c>
      <c r="B219" s="58" t="s">
        <v>616</v>
      </c>
      <c r="C219" s="58" t="str">
        <f>HYPERLINK("http://www.srs.org/professionals/research-and-journal/research-grants","Research Grants")</f>
        <v>Research Grants</v>
      </c>
      <c r="D219" s="39" t="s">
        <v>19</v>
      </c>
      <c r="E219" s="39" t="s">
        <v>17</v>
      </c>
      <c r="F219" s="39"/>
      <c r="G219" s="39" t="s">
        <v>617</v>
      </c>
      <c r="H219" s="3" t="s">
        <v>618</v>
      </c>
      <c r="I219" s="39" t="s">
        <v>494</v>
      </c>
      <c r="J219" s="12"/>
      <c r="K219" s="13"/>
    </row>
    <row r="220" spans="1:11" ht="76.5" x14ac:dyDescent="0.25">
      <c r="A220" s="22">
        <v>43191</v>
      </c>
      <c r="B220" s="58" t="s">
        <v>326</v>
      </c>
      <c r="C220" s="58" t="s">
        <v>619</v>
      </c>
      <c r="D220" s="39" t="s">
        <v>328</v>
      </c>
      <c r="E220" s="39" t="s">
        <v>17</v>
      </c>
      <c r="F220" s="39" t="s">
        <v>43</v>
      </c>
      <c r="G220" s="39" t="s">
        <v>620</v>
      </c>
      <c r="H220" s="3" t="s">
        <v>621</v>
      </c>
      <c r="I220" s="39" t="s">
        <v>478</v>
      </c>
      <c r="J220" s="2"/>
      <c r="K220" s="2"/>
    </row>
    <row r="221" spans="1:11" ht="89.25" x14ac:dyDescent="0.25">
      <c r="A221" s="22">
        <v>43195</v>
      </c>
      <c r="B221" s="58" t="s">
        <v>521</v>
      </c>
      <c r="C221" s="58" t="s">
        <v>622</v>
      </c>
      <c r="D221" s="39" t="s">
        <v>286</v>
      </c>
      <c r="E221" s="39" t="s">
        <v>334</v>
      </c>
      <c r="F221" s="39"/>
      <c r="G221" s="39" t="s">
        <v>106</v>
      </c>
      <c r="H221" s="3" t="s">
        <v>623</v>
      </c>
      <c r="I221" s="39" t="s">
        <v>603</v>
      </c>
      <c r="J221" s="2"/>
      <c r="K221" s="2"/>
    </row>
    <row r="222" spans="1:11" ht="126" x14ac:dyDescent="0.25">
      <c r="A222" s="22">
        <v>43201</v>
      </c>
      <c r="B222" s="58" t="str">
        <f>HYPERLINK("http://www.joycefdn.org/apply","Joyce Foundation")</f>
        <v>Joyce Foundation</v>
      </c>
      <c r="C222" s="58" t="str">
        <f>HYPERLINK("http://www.joycefdn.org/apply","Grants")</f>
        <v>Grants</v>
      </c>
      <c r="D222" s="39" t="s">
        <v>16</v>
      </c>
      <c r="E222" s="39" t="s">
        <v>132</v>
      </c>
      <c r="F222" s="39"/>
      <c r="G222" s="39" t="s">
        <v>624</v>
      </c>
      <c r="H222" s="17" t="s">
        <v>625</v>
      </c>
      <c r="I222" s="39"/>
      <c r="J222" s="2"/>
      <c r="K222" s="2"/>
    </row>
    <row r="223" spans="1:11" ht="63.75" x14ac:dyDescent="0.25">
      <c r="A223" s="22">
        <v>43201</v>
      </c>
      <c r="B223" s="58" t="str">
        <f>HYPERLINK("https://www.neh.gov/grants/research/fellowships","National Endowment for the Humanities")</f>
        <v>National Endowment for the Humanities</v>
      </c>
      <c r="C223" s="58" t="s">
        <v>80</v>
      </c>
      <c r="D223" s="39" t="s">
        <v>16</v>
      </c>
      <c r="E223" s="39" t="s">
        <v>378</v>
      </c>
      <c r="F223" s="39"/>
      <c r="G223" s="39" t="s">
        <v>626</v>
      </c>
      <c r="H223" s="3" t="s">
        <v>627</v>
      </c>
      <c r="I223" s="39" t="s">
        <v>478</v>
      </c>
      <c r="J223" s="12"/>
      <c r="K223" s="13"/>
    </row>
    <row r="224" spans="1:11" ht="165.75" x14ac:dyDescent="0.25">
      <c r="A224" s="22">
        <v>43201</v>
      </c>
      <c r="B224" s="58" t="str">
        <f>HYPERLINK("https://www.neh.gov/","National Endowment for the Humanities")</f>
        <v>National Endowment for the Humanities</v>
      </c>
      <c r="C224" s="58" t="s">
        <v>628</v>
      </c>
      <c r="D224" s="39" t="s">
        <v>16</v>
      </c>
      <c r="E224" s="39" t="s">
        <v>258</v>
      </c>
      <c r="F224" s="39"/>
      <c r="G224" s="39"/>
      <c r="H224" s="3" t="s">
        <v>629</v>
      </c>
      <c r="I224" s="39" t="s">
        <v>478</v>
      </c>
      <c r="J224" s="12"/>
      <c r="K224" s="13"/>
    </row>
    <row r="225" spans="1:11" ht="255" x14ac:dyDescent="0.25">
      <c r="A225" s="22">
        <v>43204</v>
      </c>
      <c r="B225" s="58" t="s">
        <v>630</v>
      </c>
      <c r="C225" s="58" t="str">
        <f>HYPERLINK("http://www.whitehall.org/about/","Research Grants")</f>
        <v>Research Grants</v>
      </c>
      <c r="D225" s="39" t="s">
        <v>19</v>
      </c>
      <c r="E225" s="39" t="s">
        <v>17</v>
      </c>
      <c r="F225" s="39"/>
      <c r="G225" s="39" t="s">
        <v>631</v>
      </c>
      <c r="H225" s="3" t="s">
        <v>632</v>
      </c>
      <c r="I225" s="39" t="s">
        <v>603</v>
      </c>
      <c r="J225" s="2"/>
      <c r="K225" s="2"/>
    </row>
    <row r="226" spans="1:11" ht="38.25" x14ac:dyDescent="0.25">
      <c r="A226" s="22">
        <v>43205</v>
      </c>
      <c r="B226" s="58" t="str">
        <f>HYPERLINK("http://www.congregationallibrary.org/","American Congregational Association")</f>
        <v>American Congregational Association</v>
      </c>
      <c r="C226" s="58" t="str">
        <f>HYPERLINK("http://www.congregationallibrary.org/researchers/research-scholarships","Boston Athenæum Fellowship")</f>
        <v>Boston Athenæum Fellowship</v>
      </c>
      <c r="D226" s="39" t="s">
        <v>143</v>
      </c>
      <c r="E226" s="39" t="s">
        <v>21</v>
      </c>
      <c r="F226" s="39"/>
      <c r="G226" s="39" t="s">
        <v>633</v>
      </c>
      <c r="H226" s="3" t="s">
        <v>634</v>
      </c>
      <c r="I226" s="39" t="s">
        <v>494</v>
      </c>
      <c r="J226" s="2"/>
      <c r="K226" s="2"/>
    </row>
    <row r="227" spans="1:11" ht="25.5" x14ac:dyDescent="0.25">
      <c r="A227" s="22">
        <v>43205</v>
      </c>
      <c r="B227" s="58" t="s">
        <v>635</v>
      </c>
      <c r="C227" s="58" t="s">
        <v>636</v>
      </c>
      <c r="D227" s="39" t="s">
        <v>143</v>
      </c>
      <c r="E227" s="39" t="s">
        <v>236</v>
      </c>
      <c r="F227" s="39"/>
      <c r="G227" s="39"/>
      <c r="H227" s="1"/>
      <c r="I227" s="39"/>
      <c r="J227" s="2"/>
      <c r="K227" s="2"/>
    </row>
    <row r="228" spans="1:11" ht="153" x14ac:dyDescent="0.25">
      <c r="A228" s="22">
        <v>43205</v>
      </c>
      <c r="B228" s="58" t="str">
        <f>HYPERLINK("http://www.einsteinforum.de/","Einstein Forum")</f>
        <v>Einstein Forum</v>
      </c>
      <c r="C228" s="58" t="str">
        <f>HYPERLINK("http://www.einsteinforum.de/about/fellowship/?lang=en","The Einstein Fellowship")</f>
        <v>The Einstein Fellowship</v>
      </c>
      <c r="D228" s="39" t="s">
        <v>16</v>
      </c>
      <c r="E228" s="39" t="s">
        <v>21</v>
      </c>
      <c r="F228" s="39"/>
      <c r="G228" s="39" t="s">
        <v>637</v>
      </c>
      <c r="H228" s="3" t="s">
        <v>638</v>
      </c>
      <c r="I228" s="39" t="s">
        <v>494</v>
      </c>
      <c r="J228" s="2"/>
      <c r="K228" s="2"/>
    </row>
    <row r="229" spans="1:11" ht="331.5" x14ac:dyDescent="0.25">
      <c r="A229" s="22">
        <v>43204</v>
      </c>
      <c r="B229" s="58" t="s">
        <v>630</v>
      </c>
      <c r="C229" s="58" t="str">
        <f>HYPERLINK("http://www.whitehall.org/about/","Research Grants and Grants-in-Aid")</f>
        <v>Research Grants and Grants-in-Aid</v>
      </c>
      <c r="D229" s="39" t="s">
        <v>19</v>
      </c>
      <c r="E229" s="39" t="s">
        <v>17</v>
      </c>
      <c r="F229" s="39"/>
      <c r="G229" s="39"/>
      <c r="H229" s="3" t="s">
        <v>639</v>
      </c>
      <c r="I229" s="39" t="s">
        <v>603</v>
      </c>
      <c r="J229" s="2"/>
      <c r="K229" s="2"/>
    </row>
    <row r="230" spans="1:11" ht="25.5" x14ac:dyDescent="0.25">
      <c r="A230" s="22">
        <v>43205</v>
      </c>
      <c r="B230" s="58" t="s">
        <v>214</v>
      </c>
      <c r="C230" s="58" t="s">
        <v>640</v>
      </c>
      <c r="D230" s="39" t="s">
        <v>19</v>
      </c>
      <c r="E230" s="39" t="s">
        <v>12</v>
      </c>
      <c r="F230" s="39"/>
      <c r="G230" s="39"/>
      <c r="H230" s="1" t="s">
        <v>13</v>
      </c>
      <c r="I230" s="39" t="s">
        <v>216</v>
      </c>
      <c r="J230" s="2"/>
      <c r="K230" s="2"/>
    </row>
    <row r="231" spans="1:11" ht="140.25" x14ac:dyDescent="0.25">
      <c r="A231" s="22">
        <v>43210</v>
      </c>
      <c r="B231" s="58" t="str">
        <f>HYPERLINK("https://www.iie.org/en/Programs/Russell-Berrie-Fellowship-in-Interreligious-Studies","Institute of International Education")</f>
        <v>Institute of International Education</v>
      </c>
      <c r="C231" s="58" t="str">
        <f>HYPERLINK("http://www.jp2center.org/programs/fellowship/","John Paul II Center for Interreligious Studies Fellowship in Interreligious Studies")</f>
        <v>John Paul II Center for Interreligious Studies Fellowship in Interreligious Studies</v>
      </c>
      <c r="D231" s="39" t="s">
        <v>11</v>
      </c>
      <c r="E231" s="39" t="s">
        <v>21</v>
      </c>
      <c r="F231" s="39"/>
      <c r="G231" s="39"/>
      <c r="H231" s="3" t="s">
        <v>641</v>
      </c>
      <c r="I231" s="39" t="s">
        <v>494</v>
      </c>
      <c r="J231" s="2"/>
      <c r="K231" s="2"/>
    </row>
    <row r="232" spans="1:11" ht="178.5" x14ac:dyDescent="0.25">
      <c r="A232" s="22">
        <v>43210</v>
      </c>
      <c r="B232" s="58" t="str">
        <f>HYPERLINK("https://lgbts.yale.edu/","Yale Lesbian, Gay, Bisexual, and Transgender Studies")</f>
        <v>Yale Lesbian, Gay, Bisexual, and Transgender Studies</v>
      </c>
      <c r="C232" s="58" t="s">
        <v>642</v>
      </c>
      <c r="D232" s="39" t="s">
        <v>643</v>
      </c>
      <c r="E232" s="39" t="s">
        <v>21</v>
      </c>
      <c r="F232" s="39"/>
      <c r="G232" s="50">
        <v>4000</v>
      </c>
      <c r="H232" s="3" t="s">
        <v>644</v>
      </c>
      <c r="I232" s="39" t="s">
        <v>494</v>
      </c>
      <c r="J232" s="2"/>
      <c r="K232" s="2"/>
    </row>
    <row r="233" spans="1:11" x14ac:dyDescent="0.25">
      <c r="A233" s="22">
        <v>43215</v>
      </c>
      <c r="B233" s="59" t="s">
        <v>645</v>
      </c>
      <c r="C233" s="58" t="s">
        <v>646</v>
      </c>
      <c r="D233" s="39" t="s">
        <v>16</v>
      </c>
      <c r="E233" s="39"/>
      <c r="F233" s="39"/>
      <c r="G233" s="39"/>
      <c r="H233" s="1" t="s">
        <v>13</v>
      </c>
      <c r="I233" s="39"/>
      <c r="J233" s="2"/>
      <c r="K233" s="2"/>
    </row>
    <row r="234" spans="1:11" ht="204" x14ac:dyDescent="0.25">
      <c r="A234" s="22">
        <v>43215</v>
      </c>
      <c r="B234" s="58" t="str">
        <f>HYPERLINK("https://www.neh.gov","National Endowment for the Humanities")</f>
        <v>National Endowment for the Humanities</v>
      </c>
      <c r="C234" s="58" t="s">
        <v>647</v>
      </c>
      <c r="D234" s="39" t="s">
        <v>111</v>
      </c>
      <c r="E234" s="39" t="s">
        <v>73</v>
      </c>
      <c r="F234" s="39"/>
      <c r="G234" s="39"/>
      <c r="H234" s="3" t="s">
        <v>648</v>
      </c>
      <c r="I234" s="39" t="s">
        <v>494</v>
      </c>
      <c r="J234" s="2"/>
      <c r="K234" s="2"/>
    </row>
    <row r="235" spans="1:11" ht="76.5" x14ac:dyDescent="0.25">
      <c r="A235" s="22">
        <v>43220</v>
      </c>
      <c r="B235" s="58" t="s">
        <v>649</v>
      </c>
      <c r="C235" s="58" t="s">
        <v>650</v>
      </c>
      <c r="D235" s="39" t="s">
        <v>286</v>
      </c>
      <c r="E235" s="39" t="s">
        <v>651</v>
      </c>
      <c r="F235" s="39"/>
      <c r="G235" s="39" t="s">
        <v>652</v>
      </c>
      <c r="H235" s="3" t="s">
        <v>653</v>
      </c>
      <c r="I235" s="39" t="s">
        <v>494</v>
      </c>
      <c r="J235" s="2"/>
      <c r="K235" s="2"/>
    </row>
    <row r="236" spans="1:11" ht="153" x14ac:dyDescent="0.25">
      <c r="A236" s="22">
        <v>43220</v>
      </c>
      <c r="B236" s="58" t="str">
        <f>HYPERLINK("http://www.nla.gov.au/","National Library of Australia")</f>
        <v>National Library of Australia</v>
      </c>
      <c r="C236" s="64" t="str">
        <f>HYPERLINK("http://www.nla.gov.au/awards-and-grants/fellowships-and-scholarships/national-library-of-australia-fellowships/application-guidelines","National Library of Australia Fellowships")</f>
        <v>National Library of Australia Fellowships</v>
      </c>
      <c r="D236" s="39" t="s">
        <v>16</v>
      </c>
      <c r="E236" s="39" t="s">
        <v>73</v>
      </c>
      <c r="F236" s="39"/>
      <c r="G236" s="39" t="s">
        <v>654</v>
      </c>
      <c r="H236" s="18" t="s">
        <v>655</v>
      </c>
      <c r="I236" s="39" t="s">
        <v>603</v>
      </c>
      <c r="J236" s="2"/>
      <c r="K236" s="2"/>
    </row>
    <row r="237" spans="1:11" ht="140.25" x14ac:dyDescent="0.25">
      <c r="A237" s="22">
        <v>43220</v>
      </c>
      <c r="B237" s="58" t="str">
        <f>HYPERLINK("https://www.fs.fed.us/managing-land/urban-forests/ucf/nucfac","United States Department of Agriculture National Urban and Community Forestry Advisory Council")</f>
        <v>United States Department of Agriculture National Urban and Community Forestry Advisory Council</v>
      </c>
      <c r="C237" s="58" t="str">
        <f>HYPERLINK("https://www.grants.gov/web/grants/view-opportunity.html?oppId=300327","2019 National Urban and Community Forestry Grant Program")</f>
        <v>2019 National Urban and Community Forestry Grant Program</v>
      </c>
      <c r="D237" s="39" t="s">
        <v>19</v>
      </c>
      <c r="E237" s="39" t="s">
        <v>95</v>
      </c>
      <c r="F237" s="39"/>
      <c r="G237" s="39" t="s">
        <v>656</v>
      </c>
      <c r="H237" s="3" t="s">
        <v>657</v>
      </c>
      <c r="I237" s="39" t="s">
        <v>494</v>
      </c>
      <c r="J237" s="2"/>
      <c r="K237" s="2"/>
    </row>
    <row r="238" spans="1:11" ht="293.25" x14ac:dyDescent="0.25">
      <c r="A238" s="22">
        <v>43220</v>
      </c>
      <c r="B238" s="58" t="s">
        <v>658</v>
      </c>
      <c r="C238" s="58" t="str">
        <f>HYPERLINK("https://breakthroughprize.org/News/42","Breakthrough Prizes in Fundamental Physics, Life Sciences, and Mathematics and New Horizons Prizes")</f>
        <v>Breakthrough Prizes in Fundamental Physics, Life Sciences, and Mathematics and New Horizons Prizes</v>
      </c>
      <c r="D238" s="39" t="s">
        <v>90</v>
      </c>
      <c r="E238" s="39" t="s">
        <v>12</v>
      </c>
      <c r="F238" s="39"/>
      <c r="G238" s="39"/>
      <c r="H238" s="3" t="s">
        <v>659</v>
      </c>
      <c r="I238" s="40">
        <v>43152</v>
      </c>
      <c r="J238" s="2"/>
      <c r="K238" s="2"/>
    </row>
    <row r="239" spans="1:11" ht="165.75" x14ac:dyDescent="0.25">
      <c r="A239" s="22">
        <v>43221</v>
      </c>
      <c r="B239" s="58" t="s">
        <v>400</v>
      </c>
      <c r="C239" s="58" t="s">
        <v>660</v>
      </c>
      <c r="D239" s="39" t="s">
        <v>33</v>
      </c>
      <c r="E239" s="39" t="s">
        <v>17</v>
      </c>
      <c r="F239" s="39"/>
      <c r="G239" s="39" t="s">
        <v>129</v>
      </c>
      <c r="H239" s="3" t="s">
        <v>661</v>
      </c>
      <c r="I239" s="39" t="s">
        <v>662</v>
      </c>
      <c r="J239" s="2"/>
      <c r="K239" s="2"/>
    </row>
    <row r="240" spans="1:11" ht="76.5" x14ac:dyDescent="0.25">
      <c r="A240" s="22">
        <v>43221</v>
      </c>
      <c r="B240" s="58" t="s">
        <v>663</v>
      </c>
      <c r="C240" s="58" t="s">
        <v>664</v>
      </c>
      <c r="D240" s="39" t="s">
        <v>16</v>
      </c>
      <c r="E240" s="39" t="s">
        <v>154</v>
      </c>
      <c r="F240" s="39"/>
      <c r="G240" s="39"/>
      <c r="H240" s="3" t="s">
        <v>665</v>
      </c>
      <c r="I240" s="39" t="s">
        <v>603</v>
      </c>
      <c r="J240" s="12"/>
      <c r="K240" s="13"/>
    </row>
    <row r="241" spans="1:11" ht="102" x14ac:dyDescent="0.25">
      <c r="A241" s="22">
        <v>43221</v>
      </c>
      <c r="B241" s="58" t="str">
        <f>HYPERLINK("http://rescorp.org/","Research Corporation for Science Advancement")</f>
        <v>Research Corporation for Science Advancement</v>
      </c>
      <c r="C241" s="58" t="str">
        <f>HYPERLINK("http://rescorp.org/cottrell-scholars/cottrell-scholar-award/guidelines","Cotrell Scholars Award")</f>
        <v>Cotrell Scholars Award</v>
      </c>
      <c r="D241" s="39" t="s">
        <v>666</v>
      </c>
      <c r="E241" s="39" t="s">
        <v>12</v>
      </c>
      <c r="F241" s="39" t="s">
        <v>43</v>
      </c>
      <c r="G241" s="50" t="s">
        <v>667</v>
      </c>
      <c r="H241" s="3" t="s">
        <v>668</v>
      </c>
      <c r="I241" s="40">
        <v>43152</v>
      </c>
      <c r="J241" s="12"/>
      <c r="K241" s="13"/>
    </row>
    <row r="242" spans="1:11" ht="89.25" x14ac:dyDescent="0.25">
      <c r="A242" s="22">
        <v>43221</v>
      </c>
      <c r="B242" s="58" t="s">
        <v>669</v>
      </c>
      <c r="C242" s="61" t="str">
        <f>HYPERLINK("http://www.wennergren.org/programs/fejos-postdoctoral-fellowships","Fejos Postdoctoral Fellowship in Ethnographic Film")</f>
        <v>Fejos Postdoctoral Fellowship in Ethnographic Film</v>
      </c>
      <c r="D242" s="39" t="s">
        <v>111</v>
      </c>
      <c r="E242" s="39" t="s">
        <v>73</v>
      </c>
      <c r="F242" s="39" t="s">
        <v>670</v>
      </c>
      <c r="G242" s="50">
        <v>40000</v>
      </c>
      <c r="H242" s="3" t="s">
        <v>671</v>
      </c>
      <c r="I242" s="39" t="s">
        <v>45</v>
      </c>
      <c r="J242" s="2"/>
      <c r="K242" s="2"/>
    </row>
    <row r="243" spans="1:11" ht="140.25" x14ac:dyDescent="0.25">
      <c r="A243" s="22">
        <v>43221</v>
      </c>
      <c r="B243" s="58" t="s">
        <v>669</v>
      </c>
      <c r="C243" s="58" t="s">
        <v>672</v>
      </c>
      <c r="D243" s="39" t="s">
        <v>94</v>
      </c>
      <c r="E243" s="39" t="s">
        <v>673</v>
      </c>
      <c r="F243" s="39"/>
      <c r="G243" s="39" t="s">
        <v>92</v>
      </c>
      <c r="H243" s="3" t="s">
        <v>674</v>
      </c>
      <c r="I243" s="39" t="s">
        <v>494</v>
      </c>
      <c r="J243" s="2"/>
      <c r="K243" s="2"/>
    </row>
    <row r="244" spans="1:11" ht="191.25" x14ac:dyDescent="0.25">
      <c r="A244" s="22">
        <v>43222</v>
      </c>
      <c r="B244" s="58" t="str">
        <f>HYPERLINK("http://wtgrantfoundation.org/","William T. Grant Foundation")</f>
        <v>William T. Grant Foundation</v>
      </c>
      <c r="C244" s="58" t="s">
        <v>675</v>
      </c>
      <c r="D244" s="39" t="s">
        <v>16</v>
      </c>
      <c r="E244" s="39" t="s">
        <v>17</v>
      </c>
      <c r="F244" s="40"/>
      <c r="G244" s="39"/>
      <c r="H244" s="3" t="s">
        <v>676</v>
      </c>
      <c r="I244" s="39" t="s">
        <v>677</v>
      </c>
      <c r="J244" s="2"/>
      <c r="K244" s="2"/>
    </row>
    <row r="245" spans="1:11" ht="140.25" x14ac:dyDescent="0.25">
      <c r="A245" s="22">
        <v>43231</v>
      </c>
      <c r="B245" s="58" t="str">
        <f t="shared" ref="B245:B246" si="5">HYPERLINK("https://nij.gov/Pages/welcome.aspx","National Institute of Justice")</f>
        <v>National Institute of Justice</v>
      </c>
      <c r="C245" s="58" t="str">
        <f>HYPERLINK("https://nij.gov/funding/fellowships/Pages/welcome.aspx","W.E.B Du Bois Program")</f>
        <v>W.E.B Du Bois Program</v>
      </c>
      <c r="D245" s="39" t="s">
        <v>678</v>
      </c>
      <c r="E245" s="39" t="s">
        <v>73</v>
      </c>
      <c r="F245" s="39"/>
      <c r="G245" s="39"/>
      <c r="H245" s="3" t="s">
        <v>679</v>
      </c>
      <c r="I245" s="39" t="s">
        <v>45</v>
      </c>
      <c r="J245" s="2"/>
      <c r="K245" s="2"/>
    </row>
    <row r="246" spans="1:11" ht="127.5" x14ac:dyDescent="0.25">
      <c r="A246" s="22">
        <v>43231</v>
      </c>
      <c r="B246" s="58" t="str">
        <f t="shared" si="5"/>
        <v>National Institute of Justice</v>
      </c>
      <c r="C246" s="58" t="str">
        <f>HYPERLINK("https://nij.gov/funding/fellowships/visiting-fellowships/pages/welcome.aspx","Visiting Fellows Program")</f>
        <v>Visiting Fellows Program</v>
      </c>
      <c r="D246" s="39" t="s">
        <v>328</v>
      </c>
      <c r="E246" s="39" t="s">
        <v>21</v>
      </c>
      <c r="F246" s="39"/>
      <c r="G246" s="39"/>
      <c r="H246" s="3" t="s">
        <v>680</v>
      </c>
      <c r="I246" s="39"/>
      <c r="J246" s="2"/>
      <c r="K246" s="2"/>
    </row>
    <row r="247" spans="1:11" ht="76.5" x14ac:dyDescent="0.25">
      <c r="A247" s="22">
        <v>43234</v>
      </c>
      <c r="B247" s="58" t="str">
        <f>HYPERLINK("https://www.gilderlehrman.org/","Gilder Lehrman Institute of American History")</f>
        <v>Gilder Lehrman Institute of American History</v>
      </c>
      <c r="C247" s="58" t="str">
        <f>HYPERLINK("https://www.gilderlehrman.org/content/scholarly-fellowships","Gilder Lehrman fellowships")</f>
        <v>Gilder Lehrman fellowships</v>
      </c>
      <c r="D247" s="39" t="s">
        <v>143</v>
      </c>
      <c r="E247" s="39" t="s">
        <v>57</v>
      </c>
      <c r="F247" s="39"/>
      <c r="G247" s="50">
        <v>3000</v>
      </c>
      <c r="H247" s="3" t="s">
        <v>681</v>
      </c>
      <c r="I247" s="39"/>
      <c r="J247" s="2"/>
      <c r="K247" s="2"/>
    </row>
    <row r="248" spans="1:11" ht="114.75" x14ac:dyDescent="0.25">
      <c r="A248" s="22">
        <v>43235</v>
      </c>
      <c r="B248" s="58" t="s">
        <v>595</v>
      </c>
      <c r="C248" s="58" t="s">
        <v>682</v>
      </c>
      <c r="D248" s="39" t="s">
        <v>143</v>
      </c>
      <c r="E248" s="39" t="s">
        <v>12</v>
      </c>
      <c r="F248" s="39"/>
      <c r="G248" s="39"/>
      <c r="H248" s="3" t="s">
        <v>683</v>
      </c>
      <c r="I248" s="39" t="s">
        <v>603</v>
      </c>
      <c r="J248" s="2"/>
      <c r="K248" s="2"/>
    </row>
    <row r="249" spans="1:11" ht="25.5" x14ac:dyDescent="0.25">
      <c r="A249" s="22">
        <v>43235</v>
      </c>
      <c r="B249" s="58" t="s">
        <v>635</v>
      </c>
      <c r="C249" s="58" t="s">
        <v>684</v>
      </c>
      <c r="D249" s="39" t="s">
        <v>143</v>
      </c>
      <c r="E249" s="39" t="s">
        <v>12</v>
      </c>
      <c r="F249" s="39" t="s">
        <v>685</v>
      </c>
      <c r="G249" s="39"/>
      <c r="H249" s="1"/>
      <c r="I249" s="39"/>
      <c r="J249" s="2"/>
      <c r="K249" s="2"/>
    </row>
    <row r="250" spans="1:11" ht="229.5" x14ac:dyDescent="0.25">
      <c r="A250" s="25" t="s">
        <v>686</v>
      </c>
      <c r="B250" s="58" t="str">
        <f>HYPERLINK("https://www.nsf.gov/","National Science Foundation")</f>
        <v>National Science Foundation</v>
      </c>
      <c r="C250" s="58" t="s">
        <v>687</v>
      </c>
      <c r="D250" s="39" t="s">
        <v>688</v>
      </c>
      <c r="E250" s="39" t="s">
        <v>17</v>
      </c>
      <c r="F250" s="39"/>
      <c r="G250" s="39"/>
      <c r="H250" s="3" t="s">
        <v>689</v>
      </c>
      <c r="I250" s="39" t="s">
        <v>603</v>
      </c>
      <c r="J250" s="5"/>
      <c r="K250" s="5"/>
    </row>
    <row r="251" spans="1:11" ht="102" x14ac:dyDescent="0.25">
      <c r="A251" s="22">
        <v>43237</v>
      </c>
      <c r="B251" s="58" t="s">
        <v>421</v>
      </c>
      <c r="C251" s="58" t="str">
        <f>HYPERLINK("http://www.dreyfus.org/awards/henry_dryfus_teacher_award.shtml","The Henry Dreyfus Teacher-Scholar Awards Program")</f>
        <v>The Henry Dreyfus Teacher-Scholar Awards Program</v>
      </c>
      <c r="D251" s="39" t="s">
        <v>211</v>
      </c>
      <c r="E251" s="39" t="s">
        <v>236</v>
      </c>
      <c r="F251" s="39" t="s">
        <v>43</v>
      </c>
      <c r="G251" s="50">
        <v>60000</v>
      </c>
      <c r="H251" s="3" t="s">
        <v>690</v>
      </c>
      <c r="I251" s="39" t="s">
        <v>603</v>
      </c>
      <c r="J251" s="2"/>
      <c r="K251" s="2"/>
    </row>
    <row r="252" spans="1:11" ht="165.75" x14ac:dyDescent="0.25">
      <c r="A252" s="22">
        <v>43238</v>
      </c>
      <c r="B252" s="58" t="str">
        <f>HYPERLINK("http://www.amielandmelburn.org.uk/","Barry Amiel and Norman Melburn Trust")</f>
        <v>Barry Amiel and Norman Melburn Trust</v>
      </c>
      <c r="C252" s="58" t="s">
        <v>691</v>
      </c>
      <c r="D252" s="39" t="s">
        <v>11</v>
      </c>
      <c r="E252" s="39" t="s">
        <v>132</v>
      </c>
      <c r="F252" s="39"/>
      <c r="G252" s="39"/>
      <c r="H252" s="3" t="s">
        <v>692</v>
      </c>
      <c r="I252" s="39" t="s">
        <v>603</v>
      </c>
      <c r="J252" s="2"/>
      <c r="K252" s="2"/>
    </row>
    <row r="253" spans="1:11" ht="63.75" x14ac:dyDescent="0.25">
      <c r="A253" s="22">
        <v>43241</v>
      </c>
      <c r="B253" s="58" t="str">
        <f>HYPERLINK("http://www.artswriters.org/","Arts Writers")</f>
        <v>Arts Writers</v>
      </c>
      <c r="C253" s="58" t="str">
        <f>HYPERLINK("http://www.artswriters.org/","Grants Program")</f>
        <v>Grants Program</v>
      </c>
      <c r="D253" s="39" t="s">
        <v>286</v>
      </c>
      <c r="E253" s="39" t="s">
        <v>258</v>
      </c>
      <c r="F253" s="39"/>
      <c r="G253" s="39" t="s">
        <v>693</v>
      </c>
      <c r="H253" s="3" t="s">
        <v>694</v>
      </c>
      <c r="I253" s="39" t="s">
        <v>603</v>
      </c>
      <c r="J253" s="2"/>
      <c r="K253" s="2"/>
    </row>
    <row r="254" spans="1:11" ht="51" x14ac:dyDescent="0.25">
      <c r="A254" s="22">
        <v>43241</v>
      </c>
      <c r="B254" s="58" t="s">
        <v>695</v>
      </c>
      <c r="C254" s="58" t="s">
        <v>696</v>
      </c>
      <c r="D254" s="39" t="s">
        <v>286</v>
      </c>
      <c r="E254" s="39" t="s">
        <v>258</v>
      </c>
      <c r="F254" s="39"/>
      <c r="G254" s="39"/>
      <c r="H254" s="3" t="s">
        <v>697</v>
      </c>
      <c r="I254" s="39" t="s">
        <v>603</v>
      </c>
      <c r="J254" s="2"/>
      <c r="K254" s="2"/>
    </row>
    <row r="255" spans="1:11" ht="165.75" x14ac:dyDescent="0.25">
      <c r="A255" s="22">
        <v>43244</v>
      </c>
      <c r="B255" s="58" t="s">
        <v>14</v>
      </c>
      <c r="C255" s="58" t="s">
        <v>698</v>
      </c>
      <c r="D255" s="39" t="s">
        <v>111</v>
      </c>
      <c r="E255" s="39" t="s">
        <v>17</v>
      </c>
      <c r="F255" s="39"/>
      <c r="G255" s="39" t="s">
        <v>166</v>
      </c>
      <c r="H255" s="3" t="s">
        <v>699</v>
      </c>
      <c r="I255" s="39" t="s">
        <v>603</v>
      </c>
      <c r="J255" s="2"/>
      <c r="K255" s="2"/>
    </row>
    <row r="256" spans="1:11" ht="204" x14ac:dyDescent="0.25">
      <c r="A256" s="22">
        <v>43244</v>
      </c>
      <c r="B256" s="58" t="s">
        <v>14</v>
      </c>
      <c r="C256" s="58" t="s">
        <v>700</v>
      </c>
      <c r="D256" s="39" t="s">
        <v>701</v>
      </c>
      <c r="E256" s="39" t="s">
        <v>17</v>
      </c>
      <c r="F256" s="39"/>
      <c r="G256" s="39" t="s">
        <v>166</v>
      </c>
      <c r="H256" s="3" t="s">
        <v>702</v>
      </c>
      <c r="I256" s="39" t="s">
        <v>603</v>
      </c>
      <c r="J256" s="2"/>
      <c r="K256" s="2"/>
    </row>
    <row r="257" spans="1:11" ht="114.75" x14ac:dyDescent="0.25">
      <c r="A257" s="22">
        <v>43250</v>
      </c>
      <c r="B257" s="58" t="s">
        <v>703</v>
      </c>
      <c r="C257" s="58" t="s">
        <v>80</v>
      </c>
      <c r="D257" s="39" t="s">
        <v>66</v>
      </c>
      <c r="E257" s="39" t="s">
        <v>704</v>
      </c>
      <c r="F257" s="39"/>
      <c r="G257" s="39"/>
      <c r="H257" s="3" t="s">
        <v>705</v>
      </c>
      <c r="I257" s="39" t="s">
        <v>603</v>
      </c>
      <c r="J257" s="2"/>
      <c r="K257" s="2"/>
    </row>
    <row r="258" spans="1:11" ht="153" x14ac:dyDescent="0.25">
      <c r="A258" s="22">
        <v>43251</v>
      </c>
      <c r="B258" s="58" t="s">
        <v>706</v>
      </c>
      <c r="C258" s="58" t="s">
        <v>707</v>
      </c>
      <c r="D258" s="39" t="s">
        <v>11</v>
      </c>
      <c r="E258" s="39" t="s">
        <v>91</v>
      </c>
      <c r="F258" s="39" t="s">
        <v>708</v>
      </c>
      <c r="G258" s="39"/>
      <c r="H258" s="3" t="s">
        <v>709</v>
      </c>
      <c r="I258" s="39" t="s">
        <v>603</v>
      </c>
      <c r="J258" s="2"/>
      <c r="K258" s="2"/>
    </row>
    <row r="259" spans="1:11" ht="153" x14ac:dyDescent="0.25">
      <c r="A259" s="22">
        <v>43251</v>
      </c>
      <c r="B259" s="58" t="s">
        <v>710</v>
      </c>
      <c r="C259" s="58" t="s">
        <v>711</v>
      </c>
      <c r="D259" s="39" t="s">
        <v>11</v>
      </c>
      <c r="E259" s="39" t="s">
        <v>21</v>
      </c>
      <c r="F259" s="39"/>
      <c r="G259" s="39" t="s">
        <v>712</v>
      </c>
      <c r="H259" s="3" t="s">
        <v>713</v>
      </c>
      <c r="I259" s="39" t="s">
        <v>603</v>
      </c>
      <c r="J259" s="2"/>
      <c r="K259" s="2"/>
    </row>
    <row r="260" spans="1:11" ht="114.75" x14ac:dyDescent="0.25">
      <c r="A260" s="22">
        <v>43251</v>
      </c>
      <c r="B260" s="58" t="str">
        <f>HYPERLINK("https://www.neh.gov/","National Endowment for the Humanities")</f>
        <v>National Endowment for the Humanities</v>
      </c>
      <c r="C260" s="58" t="s">
        <v>714</v>
      </c>
      <c r="D260" s="39" t="s">
        <v>11</v>
      </c>
      <c r="E260" s="39" t="s">
        <v>258</v>
      </c>
      <c r="F260" s="39"/>
      <c r="G260" s="39"/>
      <c r="H260" s="3" t="s">
        <v>715</v>
      </c>
      <c r="I260" s="39"/>
      <c r="J260" s="12"/>
      <c r="K260" s="13"/>
    </row>
    <row r="261" spans="1:11" ht="25.5" x14ac:dyDescent="0.25">
      <c r="A261" s="22">
        <v>43251</v>
      </c>
      <c r="B261" s="58" t="s">
        <v>716</v>
      </c>
      <c r="C261" s="58" t="s">
        <v>717</v>
      </c>
      <c r="D261" s="39" t="s">
        <v>11</v>
      </c>
      <c r="E261" s="39" t="s">
        <v>21</v>
      </c>
      <c r="F261" s="39"/>
      <c r="G261" s="39"/>
      <c r="H261" s="3" t="s">
        <v>718</v>
      </c>
      <c r="I261" s="39"/>
      <c r="J261" s="2"/>
      <c r="K261" s="2"/>
    </row>
    <row r="262" spans="1:11" ht="102" x14ac:dyDescent="0.25">
      <c r="A262" s="22">
        <v>43251</v>
      </c>
      <c r="B262" s="58" t="s">
        <v>719</v>
      </c>
      <c r="C262" s="58" t="s">
        <v>720</v>
      </c>
      <c r="D262" s="39" t="s">
        <v>286</v>
      </c>
      <c r="E262" s="39" t="s">
        <v>12</v>
      </c>
      <c r="F262" s="39"/>
      <c r="G262" s="39"/>
      <c r="H262" s="3" t="s">
        <v>721</v>
      </c>
      <c r="I262" s="39"/>
      <c r="J262" s="2"/>
      <c r="K262" s="2"/>
    </row>
    <row r="263" spans="1:11" ht="191.25" x14ac:dyDescent="0.25">
      <c r="A263" s="22">
        <v>43251</v>
      </c>
      <c r="B263" s="58" t="str">
        <f>HYPERLINK("https://www.nih.gov/","National Institutes of Health")</f>
        <v>National Institutes of Health</v>
      </c>
      <c r="C263" s="58" t="str">
        <f>HYPERLINK("https://grants.nih.gov/grants/guide/pa-files/par-16-108.html","Team-Based Design in Biomedical Engineering Education (R25)")</f>
        <v>Team-Based Design in Biomedical Engineering Education (R25)</v>
      </c>
      <c r="D263" s="39" t="s">
        <v>473</v>
      </c>
      <c r="E263" s="39" t="s">
        <v>549</v>
      </c>
      <c r="F263" s="39"/>
      <c r="G263" s="39"/>
      <c r="H263" s="3" t="s">
        <v>722</v>
      </c>
      <c r="I263" s="39" t="s">
        <v>603</v>
      </c>
      <c r="J263" s="2"/>
      <c r="K263" s="2"/>
    </row>
    <row r="264" spans="1:11" ht="127.5" x14ac:dyDescent="0.25">
      <c r="A264" s="22">
        <v>43251</v>
      </c>
      <c r="B264" s="58" t="s">
        <v>719</v>
      </c>
      <c r="C264" s="58" t="s">
        <v>720</v>
      </c>
      <c r="D264" s="39" t="s">
        <v>723</v>
      </c>
      <c r="E264" s="39" t="s">
        <v>12</v>
      </c>
      <c r="F264" s="39" t="s">
        <v>92</v>
      </c>
      <c r="G264" s="39"/>
      <c r="H264" s="3" t="s">
        <v>724</v>
      </c>
      <c r="I264" s="39" t="s">
        <v>603</v>
      </c>
      <c r="J264" s="2"/>
      <c r="K264" s="2"/>
    </row>
    <row r="265" spans="1:11" ht="51" x14ac:dyDescent="0.25">
      <c r="A265" s="22">
        <v>43251</v>
      </c>
      <c r="B265" s="58" t="s">
        <v>719</v>
      </c>
      <c r="C265" s="58" t="s">
        <v>725</v>
      </c>
      <c r="D265" s="39" t="s">
        <v>245</v>
      </c>
      <c r="E265" s="39" t="s">
        <v>12</v>
      </c>
      <c r="F265" s="39" t="s">
        <v>92</v>
      </c>
      <c r="G265" s="50">
        <v>50000</v>
      </c>
      <c r="H265" s="3" t="s">
        <v>726</v>
      </c>
      <c r="I265" s="39" t="s">
        <v>603</v>
      </c>
      <c r="J265" s="2"/>
      <c r="K265" s="2"/>
    </row>
    <row r="266" spans="1:11" ht="63.75" x14ac:dyDescent="0.25">
      <c r="A266" s="22">
        <v>43251</v>
      </c>
      <c r="B266" s="58" t="s">
        <v>727</v>
      </c>
      <c r="C266" s="58" t="s">
        <v>728</v>
      </c>
      <c r="D266" s="39" t="s">
        <v>111</v>
      </c>
      <c r="E266" s="39" t="s">
        <v>12</v>
      </c>
      <c r="F266" s="39"/>
      <c r="G266" s="39"/>
      <c r="H266" s="3" t="s">
        <v>729</v>
      </c>
      <c r="I266" s="39" t="s">
        <v>603</v>
      </c>
      <c r="J266" s="2"/>
      <c r="K266" s="2"/>
    </row>
    <row r="267" spans="1:11" ht="114.75" x14ac:dyDescent="0.25">
      <c r="A267" s="22">
        <v>43244</v>
      </c>
      <c r="B267" s="58" t="s">
        <v>14</v>
      </c>
      <c r="C267" s="58" t="str">
        <f>HYPERLINK("http://www.russellsage.org/call-proposals-computational-social-science","Computational Social Science")</f>
        <v>Computational Social Science</v>
      </c>
      <c r="D267" s="39" t="s">
        <v>111</v>
      </c>
      <c r="E267" s="39"/>
      <c r="F267" s="39"/>
      <c r="G267" s="39"/>
      <c r="H267" s="3" t="s">
        <v>730</v>
      </c>
      <c r="I267" s="39" t="s">
        <v>603</v>
      </c>
      <c r="J267" s="2"/>
      <c r="K267" s="2"/>
    </row>
    <row r="268" spans="1:11" ht="38.25" x14ac:dyDescent="0.25">
      <c r="A268" s="22">
        <v>43252</v>
      </c>
      <c r="B268" s="58" t="s">
        <v>731</v>
      </c>
      <c r="C268" s="58" t="s">
        <v>732</v>
      </c>
      <c r="D268" s="39" t="s">
        <v>16</v>
      </c>
      <c r="E268" s="39"/>
      <c r="F268" s="39"/>
      <c r="G268" s="39"/>
      <c r="H268" s="1"/>
      <c r="I268" s="39"/>
      <c r="J268" s="2"/>
      <c r="K268" s="2"/>
    </row>
    <row r="269" spans="1:11" ht="89.25" x14ac:dyDescent="0.25">
      <c r="A269" s="22">
        <v>43252</v>
      </c>
      <c r="B269" s="58" t="s">
        <v>733</v>
      </c>
      <c r="C269" s="58" t="str">
        <f>HYPERLINK("https://clags.org/fellowships-and-awards3/#clagsfellowship","CLAGS Fellowship Award")</f>
        <v>CLAGS Fellowship Award</v>
      </c>
      <c r="D269" s="39" t="s">
        <v>413</v>
      </c>
      <c r="E269" s="39" t="s">
        <v>73</v>
      </c>
      <c r="F269" s="39"/>
      <c r="G269" s="50">
        <v>2000</v>
      </c>
      <c r="H269" s="3" t="s">
        <v>734</v>
      </c>
      <c r="I269" s="39" t="s">
        <v>45</v>
      </c>
      <c r="J269" s="5"/>
      <c r="K269" s="5"/>
    </row>
    <row r="270" spans="1:11" ht="38.25" x14ac:dyDescent="0.25">
      <c r="A270" s="22">
        <v>43252</v>
      </c>
      <c r="B270" s="58" t="s">
        <v>735</v>
      </c>
      <c r="C270" s="58" t="s">
        <v>736</v>
      </c>
      <c r="D270" s="39" t="s">
        <v>384</v>
      </c>
      <c r="E270" s="39" t="s">
        <v>236</v>
      </c>
      <c r="F270" s="39"/>
      <c r="G270" s="39"/>
      <c r="H270" s="1"/>
      <c r="I270" s="39"/>
      <c r="J270" s="2"/>
      <c r="K270" s="2"/>
    </row>
    <row r="271" spans="1:11" ht="76.5" x14ac:dyDescent="0.25">
      <c r="A271" s="22">
        <v>43252</v>
      </c>
      <c r="B271" s="58" t="str">
        <f>HYPERLINK("http://www.aps.org/","American Physical Society")</f>
        <v>American Physical Society</v>
      </c>
      <c r="C271" s="58" t="str">
        <f>HYPERLINK("http://www.aps.org/programs/honors/fellowships/","APS Fellows")</f>
        <v>APS Fellows</v>
      </c>
      <c r="D271" s="39" t="s">
        <v>47</v>
      </c>
      <c r="E271" s="39" t="s">
        <v>737</v>
      </c>
      <c r="F271" s="39"/>
      <c r="G271" s="39"/>
      <c r="H271" s="3" t="s">
        <v>738</v>
      </c>
      <c r="I271" s="39"/>
      <c r="J271" s="2"/>
      <c r="K271" s="2"/>
    </row>
    <row r="272" spans="1:11" ht="102" x14ac:dyDescent="0.25">
      <c r="A272" s="22">
        <v>43253</v>
      </c>
      <c r="B272" s="58" t="str">
        <f>HYPERLINK("https://www.culinaryhistoriansny.org/","Culinary Historians of New York")</f>
        <v>Culinary Historians of New York</v>
      </c>
      <c r="C272" s="58" t="s">
        <v>739</v>
      </c>
      <c r="D272" s="39" t="s">
        <v>143</v>
      </c>
      <c r="E272" s="39" t="s">
        <v>17</v>
      </c>
      <c r="F272" s="39"/>
      <c r="G272" s="39" t="s">
        <v>740</v>
      </c>
      <c r="H272" s="3" t="s">
        <v>741</v>
      </c>
      <c r="I272" s="39"/>
      <c r="J272" s="2"/>
      <c r="K272" s="2"/>
    </row>
    <row r="273" spans="1:11" ht="191.25" x14ac:dyDescent="0.25">
      <c r="A273" s="22">
        <v>43256</v>
      </c>
      <c r="B273" s="58" t="str">
        <f>HYPERLINK("https://www.neh.gov/","National Endowment for the Humanities")</f>
        <v>National Endowment for the Humanities</v>
      </c>
      <c r="C273" s="58" t="str">
        <f>HYPERLINK("https://www.neh.gov/grants/odh/digital-humanities-advancement-grants","Digital Humanities Advancement Grant")</f>
        <v>Digital Humanities Advancement Grant</v>
      </c>
      <c r="D273" s="39" t="s">
        <v>11</v>
      </c>
      <c r="E273" s="39" t="s">
        <v>150</v>
      </c>
      <c r="F273" s="40"/>
      <c r="G273" s="39"/>
      <c r="H273" s="3" t="s">
        <v>742</v>
      </c>
      <c r="I273" s="40">
        <v>43088</v>
      </c>
      <c r="J273" s="2"/>
      <c r="K273" s="2"/>
    </row>
    <row r="274" spans="1:11" ht="114.75" x14ac:dyDescent="0.25">
      <c r="A274" s="22">
        <v>43257</v>
      </c>
      <c r="B274" s="58" t="s">
        <v>743</v>
      </c>
      <c r="C274" s="58" t="str">
        <f>HYPERLINK("https://www.neh.gov/grants/preservation/research-and-development","Research and Development")</f>
        <v>Research and Development</v>
      </c>
      <c r="D274" s="39" t="s">
        <v>235</v>
      </c>
      <c r="E274" s="39" t="s">
        <v>17</v>
      </c>
      <c r="F274" s="39"/>
      <c r="G274" s="39"/>
      <c r="H274" s="1" t="s">
        <v>744</v>
      </c>
      <c r="I274" s="39"/>
      <c r="J274" s="2"/>
      <c r="K274" s="2"/>
    </row>
    <row r="275" spans="1:11" ht="25.5" x14ac:dyDescent="0.25">
      <c r="A275" s="22">
        <v>43258</v>
      </c>
      <c r="B275" s="58" t="s">
        <v>745</v>
      </c>
      <c r="C275" s="58" t="s">
        <v>577</v>
      </c>
      <c r="D275" s="39" t="s">
        <v>16</v>
      </c>
      <c r="E275" s="39"/>
      <c r="F275" s="39"/>
      <c r="G275" s="39"/>
      <c r="H275" s="1"/>
      <c r="I275" s="39"/>
      <c r="J275" s="2"/>
      <c r="K275" s="2"/>
    </row>
    <row r="276" spans="1:11" ht="38.25" x14ac:dyDescent="0.25">
      <c r="A276" s="22">
        <v>43260</v>
      </c>
      <c r="B276" s="58" t="s">
        <v>746</v>
      </c>
      <c r="C276" s="58" t="s">
        <v>747</v>
      </c>
      <c r="D276" s="39" t="s">
        <v>179</v>
      </c>
      <c r="E276" s="39" t="s">
        <v>12</v>
      </c>
      <c r="F276" s="39"/>
      <c r="G276" s="39"/>
      <c r="H276" s="1"/>
      <c r="I276" s="39"/>
      <c r="J276" s="2"/>
      <c r="K276" s="2"/>
    </row>
    <row r="277" spans="1:11" x14ac:dyDescent="0.25">
      <c r="A277" s="22">
        <v>43265</v>
      </c>
      <c r="B277" s="58" t="str">
        <f>HYPERLINK("https://www.gerda-henkel-stiftung.de/foundation","Gerda Henkel Foundation")</f>
        <v>Gerda Henkel Foundation</v>
      </c>
      <c r="C277" s="58" t="s">
        <v>748</v>
      </c>
      <c r="D277" s="39" t="s">
        <v>11</v>
      </c>
      <c r="E277" s="39" t="s">
        <v>17</v>
      </c>
      <c r="F277" s="39"/>
      <c r="G277" s="39"/>
      <c r="H277" s="1"/>
      <c r="I277" s="39"/>
      <c r="J277" s="2"/>
      <c r="K277" s="2"/>
    </row>
    <row r="278" spans="1:11" ht="25.5" x14ac:dyDescent="0.25">
      <c r="A278" s="22">
        <v>43266</v>
      </c>
      <c r="B278" s="58" t="s">
        <v>749</v>
      </c>
      <c r="C278" s="58" t="s">
        <v>750</v>
      </c>
      <c r="D278" s="39" t="s">
        <v>19</v>
      </c>
      <c r="E278" s="39" t="s">
        <v>258</v>
      </c>
      <c r="F278" s="39"/>
      <c r="G278" s="39"/>
      <c r="H278" s="3" t="s">
        <v>751</v>
      </c>
      <c r="I278" s="39"/>
      <c r="J278" s="2"/>
      <c r="K278" s="2"/>
    </row>
    <row r="279" spans="1:11" ht="127.5" x14ac:dyDescent="0.25">
      <c r="A279" s="22">
        <v>43266</v>
      </c>
      <c r="B279" s="58" t="s">
        <v>46</v>
      </c>
      <c r="C279" s="58" t="s">
        <v>752</v>
      </c>
      <c r="D279" s="39" t="s">
        <v>90</v>
      </c>
      <c r="E279" s="39" t="s">
        <v>42</v>
      </c>
      <c r="F279" s="39" t="s">
        <v>753</v>
      </c>
      <c r="G279" s="39" t="s">
        <v>754</v>
      </c>
      <c r="H279" s="3" t="s">
        <v>755</v>
      </c>
      <c r="I279" s="39"/>
      <c r="J279" s="4"/>
      <c r="K279" s="4"/>
    </row>
    <row r="280" spans="1:11" ht="25.5" x14ac:dyDescent="0.25">
      <c r="A280" s="22">
        <v>43266</v>
      </c>
      <c r="B280" s="58" t="s">
        <v>756</v>
      </c>
      <c r="C280" s="58" t="s">
        <v>757</v>
      </c>
      <c r="D280" s="39" t="s">
        <v>211</v>
      </c>
      <c r="E280" s="39" t="s">
        <v>12</v>
      </c>
      <c r="F280" s="39"/>
      <c r="G280" s="39"/>
      <c r="H280" s="1"/>
      <c r="I280" s="39"/>
      <c r="J280" s="2"/>
      <c r="K280" s="2"/>
    </row>
    <row r="281" spans="1:11" ht="25.5" x14ac:dyDescent="0.25">
      <c r="A281" s="22">
        <v>43271</v>
      </c>
      <c r="B281" s="58" t="s">
        <v>758</v>
      </c>
      <c r="C281" s="58" t="s">
        <v>759</v>
      </c>
      <c r="D281" s="39" t="s">
        <v>16</v>
      </c>
      <c r="E281" s="39"/>
      <c r="F281" s="39"/>
      <c r="G281" s="39"/>
      <c r="H281" s="1"/>
      <c r="I281" s="39"/>
      <c r="J281" s="2"/>
      <c r="K281" s="2"/>
    </row>
    <row r="282" spans="1:11" ht="204" x14ac:dyDescent="0.25">
      <c r="A282" s="22">
        <v>43273</v>
      </c>
      <c r="B282" s="58" t="str">
        <f>HYPERLINK("https://alliance.columbia.edu/","Columbia Alliance")</f>
        <v>Columbia Alliance</v>
      </c>
      <c r="C282" s="58" t="str">
        <f>HYPERLINK("https://alliance.columbia.edu/alliance-call-joint-projects","Joint Projects")</f>
        <v>Joint Projects</v>
      </c>
      <c r="D282" s="39" t="s">
        <v>16</v>
      </c>
      <c r="E282" s="39"/>
      <c r="F282" s="40" t="s">
        <v>760</v>
      </c>
      <c r="G282" s="40" t="s">
        <v>761</v>
      </c>
      <c r="H282" s="7" t="s">
        <v>762</v>
      </c>
      <c r="I282" s="40">
        <v>43146</v>
      </c>
      <c r="J282" s="2"/>
      <c r="K282" s="2"/>
    </row>
    <row r="283" spans="1:11" ht="178.5" x14ac:dyDescent="0.25">
      <c r="A283" s="22">
        <v>43279</v>
      </c>
      <c r="B283" s="58" t="s">
        <v>14</v>
      </c>
      <c r="C283" s="59" t="s">
        <v>763</v>
      </c>
      <c r="D283" s="39" t="s">
        <v>111</v>
      </c>
      <c r="E283" s="39" t="s">
        <v>154</v>
      </c>
      <c r="F283" s="39" t="s">
        <v>764</v>
      </c>
      <c r="G283" s="39" t="s">
        <v>116</v>
      </c>
      <c r="H283" s="3" t="s">
        <v>765</v>
      </c>
      <c r="I283" s="39"/>
      <c r="J283" s="2"/>
      <c r="K283" s="2"/>
    </row>
    <row r="284" spans="1:11" ht="76.5" x14ac:dyDescent="0.25">
      <c r="A284" s="22">
        <v>43281</v>
      </c>
      <c r="B284" s="58" t="s">
        <v>766</v>
      </c>
      <c r="C284" s="58" t="s">
        <v>766</v>
      </c>
      <c r="D284" s="39" t="s">
        <v>286</v>
      </c>
      <c r="E284" s="39" t="s">
        <v>258</v>
      </c>
      <c r="F284" s="39"/>
      <c r="G284" s="39" t="s">
        <v>767</v>
      </c>
      <c r="H284" s="3" t="s">
        <v>768</v>
      </c>
      <c r="I284" s="39"/>
      <c r="J284" s="2"/>
      <c r="K284" s="2"/>
    </row>
    <row r="285" spans="1:11" ht="25.5" x14ac:dyDescent="0.25">
      <c r="A285" s="22">
        <v>43281</v>
      </c>
      <c r="B285" s="58" t="s">
        <v>769</v>
      </c>
      <c r="C285" s="58" t="s">
        <v>770</v>
      </c>
      <c r="D285" s="39" t="s">
        <v>16</v>
      </c>
      <c r="E285" s="39"/>
      <c r="F285" s="39"/>
      <c r="G285" s="39"/>
      <c r="H285" s="1"/>
      <c r="I285" s="39"/>
      <c r="J285" s="2"/>
      <c r="K285" s="2"/>
    </row>
    <row r="286" spans="1:11" ht="89.25" x14ac:dyDescent="0.25">
      <c r="A286" s="22">
        <v>43281</v>
      </c>
      <c r="B286" s="58" t="str">
        <f>HYPERLINK("https://aas.org/grants-and-prizes/","American Astronomical Society")</f>
        <v>American Astronomical Society</v>
      </c>
      <c r="C286" s="61" t="str">
        <f>HYPERLINK("https://aas.org/grants-and-prizes/annie-jump-cannon-award-astronomy","Annie Jump Cannon Award in Astronomy")</f>
        <v>Annie Jump Cannon Award in Astronomy</v>
      </c>
      <c r="D286" s="39" t="s">
        <v>47</v>
      </c>
      <c r="E286" s="39" t="s">
        <v>12</v>
      </c>
      <c r="F286" s="39"/>
      <c r="G286" s="50">
        <v>1500</v>
      </c>
      <c r="H286" s="3" t="s">
        <v>771</v>
      </c>
      <c r="I286" s="39"/>
      <c r="J286" s="2"/>
      <c r="K286" s="2"/>
    </row>
    <row r="287" spans="1:11" x14ac:dyDescent="0.25">
      <c r="A287" s="22">
        <v>43282</v>
      </c>
      <c r="B287" s="58" t="s">
        <v>772</v>
      </c>
      <c r="C287" s="58" t="s">
        <v>773</v>
      </c>
      <c r="D287" s="39" t="s">
        <v>16</v>
      </c>
      <c r="E287" s="39"/>
      <c r="F287" s="39"/>
      <c r="G287" s="39"/>
      <c r="H287" s="1"/>
      <c r="I287" s="39"/>
      <c r="J287" s="2"/>
      <c r="K287" s="2"/>
    </row>
    <row r="288" spans="1:11" ht="191.25" x14ac:dyDescent="0.25">
      <c r="A288" s="22">
        <v>43282</v>
      </c>
      <c r="B288" s="58" t="s">
        <v>733</v>
      </c>
      <c r="C288" s="58" t="s">
        <v>774</v>
      </c>
      <c r="D288" s="39" t="s">
        <v>413</v>
      </c>
      <c r="E288" s="39" t="s">
        <v>21</v>
      </c>
      <c r="F288" s="39"/>
      <c r="G288" s="54">
        <v>0</v>
      </c>
      <c r="H288" s="3" t="s">
        <v>775</v>
      </c>
      <c r="I288" s="39"/>
      <c r="J288" s="5"/>
      <c r="K288" s="5"/>
    </row>
    <row r="289" spans="1:11" ht="267.75" x14ac:dyDescent="0.25">
      <c r="A289" s="22">
        <v>43282</v>
      </c>
      <c r="B289" s="58" t="s">
        <v>776</v>
      </c>
      <c r="C289" s="58" t="str">
        <f>HYPERLINK("http://www.indiastudies.org/research-fellowship-programs/categories-of-fellowship/","Research &amp; Senior Scholarly/Professional Development Fellowships")</f>
        <v>Research &amp; Senior Scholarly/Professional Development Fellowships</v>
      </c>
      <c r="D289" s="39" t="s">
        <v>127</v>
      </c>
      <c r="E289" s="39" t="s">
        <v>91</v>
      </c>
      <c r="F289" s="39" t="s">
        <v>777</v>
      </c>
      <c r="G289" s="39" t="s">
        <v>778</v>
      </c>
      <c r="H289" s="3" t="s">
        <v>779</v>
      </c>
      <c r="I289" s="39"/>
      <c r="J289" s="2"/>
      <c r="K289" s="2"/>
    </row>
    <row r="290" spans="1:11" ht="102" x14ac:dyDescent="0.25">
      <c r="A290" s="22">
        <v>43286</v>
      </c>
      <c r="B290" s="58" t="s">
        <v>780</v>
      </c>
      <c r="C290" s="58" t="s">
        <v>781</v>
      </c>
      <c r="D290" s="39" t="s">
        <v>16</v>
      </c>
      <c r="E290" s="39" t="s">
        <v>73</v>
      </c>
      <c r="F290" s="39"/>
      <c r="G290" s="39" t="s">
        <v>782</v>
      </c>
      <c r="H290" s="3" t="s">
        <v>783</v>
      </c>
      <c r="I290" s="39"/>
      <c r="J290" s="2"/>
      <c r="K290" s="2"/>
    </row>
    <row r="291" spans="1:11" ht="165.75" x14ac:dyDescent="0.25">
      <c r="A291" s="22">
        <v>43286</v>
      </c>
      <c r="B291" s="58" t="str">
        <f>HYPERLINK("http://wtgrantfoundation.org/","William T. Grant Foundation")</f>
        <v>William T. Grant Foundation</v>
      </c>
      <c r="C291" s="59" t="s">
        <v>784</v>
      </c>
      <c r="D291" s="39" t="s">
        <v>785</v>
      </c>
      <c r="E291" s="39" t="s">
        <v>17</v>
      </c>
      <c r="F291" s="39"/>
      <c r="G291" s="39"/>
      <c r="H291" s="3" t="s">
        <v>786</v>
      </c>
      <c r="I291" s="39"/>
      <c r="J291" s="2"/>
      <c r="K291" s="2"/>
    </row>
    <row r="292" spans="1:11" x14ac:dyDescent="0.25">
      <c r="A292" s="22">
        <v>43292</v>
      </c>
      <c r="B292" s="58" t="s">
        <v>121</v>
      </c>
      <c r="C292" s="58" t="s">
        <v>787</v>
      </c>
      <c r="D292" s="39" t="s">
        <v>16</v>
      </c>
      <c r="E292" s="40"/>
      <c r="F292" s="40"/>
      <c r="G292" s="39"/>
      <c r="H292" s="1"/>
      <c r="I292" s="40">
        <v>43059</v>
      </c>
      <c r="J292" s="2"/>
      <c r="K292" s="2"/>
    </row>
    <row r="293" spans="1:11" ht="191.25" x14ac:dyDescent="0.25">
      <c r="A293" s="22">
        <v>43296</v>
      </c>
      <c r="B293" s="58" t="str">
        <f>HYPERLINK("http://artomi.org/","Art Omi")</f>
        <v>Art Omi</v>
      </c>
      <c r="C293" s="58" t="str">
        <f>HYPERLINK("http://45.55.141.4/residencies/art-omi-writers/apply-for-translation-lab","Art Omi: Translation Lab")</f>
        <v>Art Omi: Translation Lab</v>
      </c>
      <c r="D293" s="39" t="s">
        <v>253</v>
      </c>
      <c r="E293" s="39" t="s">
        <v>258</v>
      </c>
      <c r="F293" s="39"/>
      <c r="G293" s="39" t="s">
        <v>788</v>
      </c>
      <c r="H293" s="3" t="s">
        <v>789</v>
      </c>
      <c r="I293" s="39"/>
      <c r="J293" s="2"/>
      <c r="K293" s="2"/>
    </row>
    <row r="294" spans="1:11" ht="63.75" x14ac:dyDescent="0.25">
      <c r="A294" s="22">
        <v>43296</v>
      </c>
      <c r="B294" s="58" t="str">
        <f>HYPERLINK("https://leakeyfoundation.org/","Leakey Foundation")</f>
        <v>Leakey Foundation</v>
      </c>
      <c r="C294" s="58" t="s">
        <v>675</v>
      </c>
      <c r="D294" s="39" t="s">
        <v>16</v>
      </c>
      <c r="E294" s="39" t="s">
        <v>17</v>
      </c>
      <c r="F294" s="39"/>
      <c r="G294" s="39" t="s">
        <v>102</v>
      </c>
      <c r="H294" s="3" t="s">
        <v>790</v>
      </c>
      <c r="I294" s="39"/>
      <c r="J294" s="2"/>
      <c r="K294" s="2"/>
    </row>
    <row r="295" spans="1:11" ht="153" x14ac:dyDescent="0.25">
      <c r="A295" s="22">
        <v>43296</v>
      </c>
      <c r="B295" s="58" t="str">
        <f>HYPERLINK("https://www.loc.gov/","Library of Congress")</f>
        <v>Library of Congress</v>
      </c>
      <c r="C295" s="58" t="str">
        <f>HYPERLINK("https://www.loc.gov/loc/kluge/fellowships/kluge.php","Kluge Center Fellowship")</f>
        <v>Kluge Center Fellowship</v>
      </c>
      <c r="D295" s="39" t="s">
        <v>16</v>
      </c>
      <c r="E295" s="39" t="s">
        <v>21</v>
      </c>
      <c r="F295" s="39" t="s">
        <v>128</v>
      </c>
      <c r="G295" s="50" t="s">
        <v>791</v>
      </c>
      <c r="H295" s="3" t="s">
        <v>792</v>
      </c>
      <c r="I295" s="39" t="s">
        <v>45</v>
      </c>
      <c r="J295" s="2"/>
      <c r="K295" s="2"/>
    </row>
    <row r="296" spans="1:11" ht="216.75" x14ac:dyDescent="0.25">
      <c r="A296" s="22">
        <v>43297</v>
      </c>
      <c r="B296" s="58" t="s">
        <v>121</v>
      </c>
      <c r="C296" s="58" t="s">
        <v>793</v>
      </c>
      <c r="D296" s="39" t="s">
        <v>179</v>
      </c>
      <c r="E296" s="39" t="s">
        <v>17</v>
      </c>
      <c r="F296" s="39"/>
      <c r="G296" s="39" t="s">
        <v>794</v>
      </c>
      <c r="H296" s="3" t="s">
        <v>795</v>
      </c>
      <c r="I296" s="39"/>
      <c r="J296" s="2"/>
      <c r="K296" s="2"/>
    </row>
    <row r="297" spans="1:11" x14ac:dyDescent="0.25">
      <c r="A297" s="22">
        <v>43297</v>
      </c>
      <c r="B297" s="58" t="str">
        <f>HYPERLINK("https://www.nsf.gov/","National Science Foundation")</f>
        <v>National Science Foundation</v>
      </c>
      <c r="C297" s="58" t="s">
        <v>796</v>
      </c>
      <c r="D297" s="39" t="s">
        <v>111</v>
      </c>
      <c r="E297" s="39" t="s">
        <v>17</v>
      </c>
      <c r="F297" s="40"/>
      <c r="G297" s="39"/>
      <c r="H297" s="1" t="s">
        <v>797</v>
      </c>
      <c r="I297" s="40">
        <v>43073</v>
      </c>
      <c r="J297" s="2"/>
      <c r="K297" s="2"/>
    </row>
    <row r="298" spans="1:11" ht="115.5" x14ac:dyDescent="0.25">
      <c r="A298" s="26">
        <v>43300</v>
      </c>
      <c r="B298" s="58" t="s">
        <v>121</v>
      </c>
      <c r="C298" s="58" t="s">
        <v>798</v>
      </c>
      <c r="D298" s="39" t="s">
        <v>19</v>
      </c>
      <c r="E298" s="39" t="s">
        <v>236</v>
      </c>
      <c r="F298" s="39" t="s">
        <v>43</v>
      </c>
      <c r="G298" s="44"/>
      <c r="H298" s="19" t="s">
        <v>799</v>
      </c>
      <c r="I298" s="44"/>
      <c r="J298" s="2"/>
      <c r="K298" s="2"/>
    </row>
    <row r="299" spans="1:11" ht="102" x14ac:dyDescent="0.25">
      <c r="A299" s="22">
        <v>43312</v>
      </c>
      <c r="B299" s="58" t="s">
        <v>800</v>
      </c>
      <c r="C299" s="58" t="s">
        <v>801</v>
      </c>
      <c r="D299" s="39" t="s">
        <v>19</v>
      </c>
      <c r="E299" s="39" t="s">
        <v>12</v>
      </c>
      <c r="F299" s="39"/>
      <c r="G299" s="39" t="s">
        <v>802</v>
      </c>
      <c r="H299" s="3" t="s">
        <v>803</v>
      </c>
      <c r="I299" s="39"/>
      <c r="J299" s="2"/>
      <c r="K299" s="2"/>
    </row>
    <row r="300" spans="1:11" ht="63.75" x14ac:dyDescent="0.25">
      <c r="A300" s="22">
        <v>43312</v>
      </c>
      <c r="B300" s="58" t="s">
        <v>800</v>
      </c>
      <c r="C300" s="58" t="str">
        <f>HYPERLINK("http://marconisociety.org/lifetime-achievement/","LIfetime Achievement")</f>
        <v>LIfetime Achievement</v>
      </c>
      <c r="D300" s="39" t="s">
        <v>19</v>
      </c>
      <c r="E300" s="39" t="s">
        <v>12</v>
      </c>
      <c r="F300" s="39"/>
      <c r="G300" s="39"/>
      <c r="H300" s="3" t="s">
        <v>804</v>
      </c>
      <c r="I300" s="39"/>
      <c r="J300" s="2"/>
      <c r="K300" s="2"/>
    </row>
    <row r="301" spans="1:11" ht="178.5" x14ac:dyDescent="0.25">
      <c r="A301" s="22">
        <v>43313</v>
      </c>
      <c r="B301" s="58" t="str">
        <f>HYPERLINK("https://www.aarweb.org/node/142","American Academy of Religion")</f>
        <v>American Academy of Religion</v>
      </c>
      <c r="C301" s="58" t="str">
        <f>HYPERLINK("https://www.aarweb.org/node/142","Collaborative Research Grants")</f>
        <v>Collaborative Research Grants</v>
      </c>
      <c r="D301" s="39" t="s">
        <v>805</v>
      </c>
      <c r="E301" s="39" t="s">
        <v>806</v>
      </c>
      <c r="F301" s="39"/>
      <c r="G301" s="39" t="s">
        <v>807</v>
      </c>
      <c r="H301" s="3" t="s">
        <v>808</v>
      </c>
      <c r="I301" s="39"/>
      <c r="J301" s="2"/>
      <c r="K301" s="2"/>
    </row>
    <row r="302" spans="1:11" ht="165.75" x14ac:dyDescent="0.25">
      <c r="A302" s="22">
        <v>43313</v>
      </c>
      <c r="B302" s="58" t="s">
        <v>809</v>
      </c>
      <c r="C302" s="58" t="s">
        <v>810</v>
      </c>
      <c r="D302" s="39" t="s">
        <v>16</v>
      </c>
      <c r="E302" s="39" t="s">
        <v>21</v>
      </c>
      <c r="F302" s="39"/>
      <c r="G302" s="39"/>
      <c r="H302" s="3" t="s">
        <v>811</v>
      </c>
      <c r="I302" s="39"/>
      <c r="J302" s="2"/>
      <c r="K302" s="2"/>
    </row>
    <row r="303" spans="1:11" ht="114.75" x14ac:dyDescent="0.25">
      <c r="A303" s="22">
        <v>43313</v>
      </c>
      <c r="B303" s="58" t="s">
        <v>812</v>
      </c>
      <c r="C303" s="58" t="s">
        <v>813</v>
      </c>
      <c r="D303" s="39" t="s">
        <v>16</v>
      </c>
      <c r="E303" s="39" t="s">
        <v>91</v>
      </c>
      <c r="F303" s="39"/>
      <c r="G303" s="39"/>
      <c r="H303" s="3" t="s">
        <v>814</v>
      </c>
      <c r="I303" s="39" t="s">
        <v>45</v>
      </c>
      <c r="J303" s="2"/>
      <c r="K303" s="2"/>
    </row>
    <row r="304" spans="1:11" ht="51" x14ac:dyDescent="0.25">
      <c r="A304" s="22">
        <v>43313</v>
      </c>
      <c r="B304" s="58" t="str">
        <f>HYPERLINK("https://www.aaas.org/","American Association for the Advancement of Science (AAAS)")</f>
        <v>American Association for the Advancement of Science (AAAS)</v>
      </c>
      <c r="C304" s="58" t="s">
        <v>815</v>
      </c>
      <c r="D304" s="39" t="s">
        <v>19</v>
      </c>
      <c r="E304" s="39" t="s">
        <v>12</v>
      </c>
      <c r="F304" s="39"/>
      <c r="G304" s="50">
        <v>5000</v>
      </c>
      <c r="H304" s="3" t="s">
        <v>816</v>
      </c>
      <c r="I304" s="39"/>
      <c r="J304" s="2"/>
      <c r="K304" s="2"/>
    </row>
    <row r="305" spans="1:11" ht="63.75" x14ac:dyDescent="0.25">
      <c r="A305" s="22">
        <v>43313</v>
      </c>
      <c r="B305" s="58" t="str">
        <f>HYPERLINK("http://www.hluce.org/","Henry Luce Foundation ")</f>
        <v xml:space="preserve">Henry Luce Foundation </v>
      </c>
      <c r="C305" s="58" t="str">
        <f>HYPERLINK("http://www.hluce.org/cblprogram.aspx","Clare Boothe Luce Program ")</f>
        <v xml:space="preserve">Clare Boothe Luce Program </v>
      </c>
      <c r="D305" s="39" t="s">
        <v>19</v>
      </c>
      <c r="E305" s="39" t="s">
        <v>549</v>
      </c>
      <c r="F305" s="39"/>
      <c r="G305" s="39"/>
      <c r="H305" s="3" t="s">
        <v>817</v>
      </c>
      <c r="I305" s="39"/>
      <c r="J305" s="2"/>
      <c r="K305" s="2"/>
    </row>
    <row r="306" spans="1:11" ht="178.5" x14ac:dyDescent="0.25">
      <c r="A306" s="22">
        <v>43313</v>
      </c>
      <c r="B306" s="58" t="s">
        <v>818</v>
      </c>
      <c r="C306" s="58" t="s">
        <v>819</v>
      </c>
      <c r="D306" s="39" t="s">
        <v>820</v>
      </c>
      <c r="E306" s="39" t="s">
        <v>12</v>
      </c>
      <c r="F306" s="39"/>
      <c r="G306" s="39"/>
      <c r="H306" s="1" t="s">
        <v>821</v>
      </c>
      <c r="I306" s="39"/>
      <c r="J306" s="2"/>
      <c r="K306" s="2"/>
    </row>
    <row r="307" spans="1:11" ht="114.75" x14ac:dyDescent="0.25">
      <c r="A307" s="22">
        <v>43313</v>
      </c>
      <c r="B307" s="58" t="str">
        <f>HYPERLINK("http://www.hfg.org/","Harry Frank Guggenheim Foundation ")</f>
        <v xml:space="preserve">Harry Frank Guggenheim Foundation </v>
      </c>
      <c r="C307" s="58" t="s">
        <v>675</v>
      </c>
      <c r="D307" s="39" t="s">
        <v>111</v>
      </c>
      <c r="E307" s="39" t="s">
        <v>17</v>
      </c>
      <c r="F307" s="39"/>
      <c r="G307" s="39"/>
      <c r="H307" s="1" t="s">
        <v>822</v>
      </c>
      <c r="I307" s="39"/>
      <c r="J307" s="2"/>
      <c r="K307" s="2"/>
    </row>
    <row r="308" spans="1:11" x14ac:dyDescent="0.25">
      <c r="A308" s="22">
        <v>43313</v>
      </c>
      <c r="B308" s="58" t="s">
        <v>121</v>
      </c>
      <c r="C308" s="58" t="s">
        <v>823</v>
      </c>
      <c r="D308" s="39" t="s">
        <v>111</v>
      </c>
      <c r="E308" s="39" t="s">
        <v>17</v>
      </c>
      <c r="F308" s="39"/>
      <c r="G308" s="39"/>
      <c r="H308" s="1"/>
      <c r="I308" s="39"/>
      <c r="J308" s="2"/>
      <c r="K308" s="2"/>
    </row>
    <row r="309" spans="1:11" ht="38.25" x14ac:dyDescent="0.25">
      <c r="A309" s="22">
        <v>43327</v>
      </c>
      <c r="B309" s="58" t="str">
        <f t="shared" ref="B309:B311" si="6">HYPERLINK("https://www.nsf.gov/","National Science Foundation")</f>
        <v>National Science Foundation</v>
      </c>
      <c r="C309" s="58" t="str">
        <f>HYPERLINK("https://www.nsf.gov/funding/pgm_summ.jsp?pims_id=5388","Cultural Anthropology")</f>
        <v>Cultural Anthropology</v>
      </c>
      <c r="D309" s="39" t="s">
        <v>111</v>
      </c>
      <c r="E309" s="39" t="s">
        <v>17</v>
      </c>
      <c r="F309" s="40"/>
      <c r="G309" s="39"/>
      <c r="H309" s="3" t="s">
        <v>824</v>
      </c>
      <c r="I309" s="40">
        <v>43073</v>
      </c>
      <c r="J309" s="2"/>
      <c r="K309" s="2"/>
    </row>
    <row r="310" spans="1:11" ht="25.5" x14ac:dyDescent="0.25">
      <c r="A310" s="23">
        <v>43327</v>
      </c>
      <c r="B310" s="58" t="str">
        <f t="shared" si="6"/>
        <v>National Science Foundation</v>
      </c>
      <c r="C310" s="58" t="s">
        <v>825</v>
      </c>
      <c r="D310" s="39" t="s">
        <v>328</v>
      </c>
      <c r="E310" s="39" t="s">
        <v>17</v>
      </c>
      <c r="F310" s="40"/>
      <c r="G310" s="41"/>
      <c r="H310" s="15" t="s">
        <v>826</v>
      </c>
      <c r="I310" s="40">
        <v>43073</v>
      </c>
      <c r="J310" s="2"/>
      <c r="K310" s="2"/>
    </row>
    <row r="311" spans="1:11" ht="38.25" x14ac:dyDescent="0.25">
      <c r="A311" s="22">
        <v>43327</v>
      </c>
      <c r="B311" s="58" t="str">
        <f t="shared" si="6"/>
        <v>National Science Foundation</v>
      </c>
      <c r="C311" s="58" t="s">
        <v>827</v>
      </c>
      <c r="D311" s="39" t="s">
        <v>204</v>
      </c>
      <c r="E311" s="39" t="s">
        <v>17</v>
      </c>
      <c r="F311" s="40"/>
      <c r="G311" s="39"/>
      <c r="H311" s="3" t="s">
        <v>828</v>
      </c>
      <c r="I311" s="40">
        <v>43073</v>
      </c>
      <c r="J311" s="2"/>
      <c r="K311" s="2"/>
    </row>
    <row r="312" spans="1:11" ht="25.5" x14ac:dyDescent="0.25">
      <c r="A312" s="22">
        <v>43327</v>
      </c>
      <c r="B312" s="58" t="s">
        <v>829</v>
      </c>
      <c r="C312" s="58" t="s">
        <v>577</v>
      </c>
      <c r="D312" s="39" t="s">
        <v>204</v>
      </c>
      <c r="E312" s="39" t="s">
        <v>120</v>
      </c>
      <c r="F312" s="39"/>
      <c r="G312" s="39"/>
      <c r="H312" s="1"/>
      <c r="I312" s="39"/>
      <c r="J312" s="2"/>
      <c r="K312" s="2"/>
    </row>
    <row r="313" spans="1:11" ht="38.25" x14ac:dyDescent="0.25">
      <c r="A313" s="22">
        <v>43332</v>
      </c>
      <c r="B313" s="58" t="str">
        <f t="shared" ref="B313:B314" si="7">HYPERLINK("https://www.nsf.gov/","National Science Foundation")</f>
        <v>National Science Foundation</v>
      </c>
      <c r="C313" s="58" t="s">
        <v>830</v>
      </c>
      <c r="D313" s="39" t="s">
        <v>111</v>
      </c>
      <c r="E313" s="39" t="s">
        <v>17</v>
      </c>
      <c r="F313" s="40"/>
      <c r="G313" s="39"/>
      <c r="H313" s="3" t="s">
        <v>831</v>
      </c>
      <c r="I313" s="40">
        <v>43073</v>
      </c>
      <c r="J313" s="2"/>
      <c r="K313" s="2"/>
    </row>
    <row r="314" spans="1:11" x14ac:dyDescent="0.25">
      <c r="A314" s="22">
        <v>43332</v>
      </c>
      <c r="B314" s="58" t="str">
        <f t="shared" si="7"/>
        <v>National Science Foundation</v>
      </c>
      <c r="C314" s="58" t="s">
        <v>832</v>
      </c>
      <c r="D314" s="39" t="s">
        <v>111</v>
      </c>
      <c r="E314" s="39" t="s">
        <v>17</v>
      </c>
      <c r="F314" s="40"/>
      <c r="G314" s="39"/>
      <c r="H314" s="1" t="s">
        <v>13</v>
      </c>
      <c r="I314" s="40">
        <v>43073</v>
      </c>
      <c r="J314" s="2"/>
      <c r="K314" s="2"/>
    </row>
    <row r="315" spans="1:11" ht="191.25" x14ac:dyDescent="0.25">
      <c r="A315" s="23">
        <v>43332</v>
      </c>
      <c r="B315" s="58" t="s">
        <v>14</v>
      </c>
      <c r="C315" s="58" t="str">
        <f>HYPERLINK("http://www.russellsage.org/research/funding/future-work","Future of Work")</f>
        <v>Future of Work</v>
      </c>
      <c r="D315" s="41" t="s">
        <v>111</v>
      </c>
      <c r="E315" s="41" t="s">
        <v>17</v>
      </c>
      <c r="F315" s="41"/>
      <c r="G315" s="39" t="s">
        <v>166</v>
      </c>
      <c r="H315" s="3" t="s">
        <v>833</v>
      </c>
      <c r="I315" s="41"/>
      <c r="J315" s="2"/>
      <c r="K315" s="2"/>
    </row>
    <row r="316" spans="1:11" ht="216.75" x14ac:dyDescent="0.25">
      <c r="A316" s="23">
        <v>43332</v>
      </c>
      <c r="B316" s="58" t="s">
        <v>14</v>
      </c>
      <c r="C316" s="58" t="str">
        <f>HYPERLINK("http://www.russellsage.org/research/funding/social-inequality","Social Inequality")</f>
        <v>Social Inequality</v>
      </c>
      <c r="D316" s="41" t="s">
        <v>111</v>
      </c>
      <c r="E316" s="41" t="s">
        <v>17</v>
      </c>
      <c r="F316" s="41"/>
      <c r="G316" s="39" t="s">
        <v>166</v>
      </c>
      <c r="H316" s="3" t="s">
        <v>834</v>
      </c>
      <c r="I316" s="41"/>
      <c r="J316" s="2"/>
      <c r="K316" s="2"/>
    </row>
    <row r="317" spans="1:11" ht="89.25" x14ac:dyDescent="0.25">
      <c r="A317" s="22">
        <v>43344</v>
      </c>
      <c r="B317" s="58" t="s">
        <v>835</v>
      </c>
      <c r="C317" s="58" t="s">
        <v>836</v>
      </c>
      <c r="D317" s="39" t="s">
        <v>235</v>
      </c>
      <c r="E317" s="39" t="s">
        <v>258</v>
      </c>
      <c r="F317" s="39"/>
      <c r="G317" s="39"/>
      <c r="H317" s="1" t="s">
        <v>837</v>
      </c>
      <c r="I317" s="39"/>
      <c r="J317" s="2"/>
      <c r="K317" s="2"/>
    </row>
    <row r="318" spans="1:11" ht="369.75" x14ac:dyDescent="0.25">
      <c r="A318" s="22">
        <v>43344</v>
      </c>
      <c r="B318" s="58" t="str">
        <f>HYPERLINK("https://www.ssrc.org/","Social Science Research Council and the Japan Foundation Center for Global Partnership")</f>
        <v>Social Science Research Council and the Japan Foundation Center for Global Partnership</v>
      </c>
      <c r="C318" s="58" t="str">
        <f>HYPERLINK("https://www.ssrc.org/fellowships/view/abe-fellowship/","Abe Fellowship")</f>
        <v>Abe Fellowship</v>
      </c>
      <c r="D318" s="39" t="s">
        <v>111</v>
      </c>
      <c r="E318" s="39" t="s">
        <v>73</v>
      </c>
      <c r="F318" s="39"/>
      <c r="G318" s="39" t="s">
        <v>838</v>
      </c>
      <c r="H318" s="3" t="s">
        <v>839</v>
      </c>
      <c r="I318" s="39" t="s">
        <v>45</v>
      </c>
      <c r="J318" s="2"/>
      <c r="K318" s="2"/>
    </row>
    <row r="319" spans="1:11" ht="204" x14ac:dyDescent="0.25">
      <c r="A319" s="22">
        <v>43355</v>
      </c>
      <c r="B319" s="58" t="s">
        <v>121</v>
      </c>
      <c r="C319" s="58" t="s">
        <v>840</v>
      </c>
      <c r="D319" s="39" t="s">
        <v>47</v>
      </c>
      <c r="E319" s="39" t="s">
        <v>17</v>
      </c>
      <c r="F319" s="39"/>
      <c r="G319" s="39"/>
      <c r="H319" s="3" t="s">
        <v>841</v>
      </c>
      <c r="I319" s="39"/>
      <c r="J319" s="2"/>
      <c r="K319" s="2"/>
    </row>
    <row r="320" spans="1:11" ht="216.75" x14ac:dyDescent="0.25">
      <c r="A320" s="22">
        <v>43357</v>
      </c>
      <c r="B320" s="58" t="s">
        <v>412</v>
      </c>
      <c r="C320" s="58" t="s">
        <v>842</v>
      </c>
      <c r="D320" s="39" t="s">
        <v>843</v>
      </c>
      <c r="E320" s="39" t="s">
        <v>21</v>
      </c>
      <c r="F320" s="39"/>
      <c r="G320" s="39"/>
      <c r="H320" s="3" t="s">
        <v>844</v>
      </c>
      <c r="I320" s="39"/>
      <c r="J320" s="2"/>
      <c r="K320" s="2"/>
    </row>
    <row r="321" spans="1:11" x14ac:dyDescent="0.25">
      <c r="A321" s="22">
        <v>43358</v>
      </c>
      <c r="B321" s="58" t="str">
        <f>HYPERLINK("https://www.nsf.gov/","National Science Foundation")</f>
        <v>National Science Foundation</v>
      </c>
      <c r="C321" s="58" t="s">
        <v>845</v>
      </c>
      <c r="D321" s="39" t="s">
        <v>11</v>
      </c>
      <c r="E321" s="39" t="s">
        <v>17</v>
      </c>
      <c r="F321" s="39"/>
      <c r="G321" s="39"/>
      <c r="H321" s="1"/>
      <c r="I321" s="39"/>
      <c r="J321" s="2"/>
      <c r="K321" s="2"/>
    </row>
    <row r="322" spans="1:11" ht="216.75" x14ac:dyDescent="0.25">
      <c r="A322" s="22">
        <v>43358</v>
      </c>
      <c r="B322" s="58" t="str">
        <f>HYPERLINK("http://www.sdrubin.org/","Shelley &amp; Donald Rubin Foundation")</f>
        <v>Shelley &amp; Donald Rubin Foundation</v>
      </c>
      <c r="C322" s="58" t="str">
        <f>HYPERLINK("http://www.sdrubin.org/grant-program/","Grant Program")</f>
        <v>Grant Program</v>
      </c>
      <c r="D322" s="39" t="s">
        <v>11</v>
      </c>
      <c r="E322" s="39" t="s">
        <v>132</v>
      </c>
      <c r="F322" s="39"/>
      <c r="G322" s="39" t="s">
        <v>846</v>
      </c>
      <c r="H322" s="17" t="s">
        <v>847</v>
      </c>
      <c r="I322" s="39"/>
      <c r="J322" s="2"/>
      <c r="K322" s="2"/>
    </row>
    <row r="323" spans="1:11" ht="204" x14ac:dyDescent="0.25">
      <c r="A323" s="22">
        <v>43358</v>
      </c>
      <c r="B323" s="58" t="str">
        <f>HYPERLINK("http://www.gei.de/en/the-institute.html","George Eckert Institute Library")</f>
        <v>George Eckert Institute Library</v>
      </c>
      <c r="C323" s="58" t="s">
        <v>848</v>
      </c>
      <c r="D323" s="39" t="s">
        <v>33</v>
      </c>
      <c r="E323" s="39" t="s">
        <v>21</v>
      </c>
      <c r="F323" s="39"/>
      <c r="G323" s="55" t="s">
        <v>849</v>
      </c>
      <c r="H323" s="3" t="s">
        <v>850</v>
      </c>
      <c r="I323" s="39"/>
      <c r="J323" s="2"/>
      <c r="K323" s="2"/>
    </row>
    <row r="324" spans="1:11" ht="76.5" x14ac:dyDescent="0.25">
      <c r="A324" s="22">
        <v>43358</v>
      </c>
      <c r="B324" s="58" t="s">
        <v>851</v>
      </c>
      <c r="C324" s="58" t="s">
        <v>852</v>
      </c>
      <c r="D324" s="39" t="s">
        <v>235</v>
      </c>
      <c r="E324" s="39" t="s">
        <v>17</v>
      </c>
      <c r="F324" s="39"/>
      <c r="G324" s="39"/>
      <c r="H324" s="1" t="s">
        <v>853</v>
      </c>
      <c r="I324" s="39"/>
      <c r="J324" s="2"/>
      <c r="K324" s="2"/>
    </row>
    <row r="325" spans="1:11" ht="242.25" x14ac:dyDescent="0.25">
      <c r="A325" s="22">
        <v>43358</v>
      </c>
      <c r="B325" s="58" t="str">
        <f>HYPERLINK("http://fdnweb.org/eppley/","Eppley Foundation for Research")</f>
        <v>Eppley Foundation for Research</v>
      </c>
      <c r="C325" s="58" t="s">
        <v>854</v>
      </c>
      <c r="D325" s="39" t="s">
        <v>19</v>
      </c>
      <c r="E325" s="39" t="s">
        <v>17</v>
      </c>
      <c r="F325" s="39"/>
      <c r="G325" s="39" t="s">
        <v>855</v>
      </c>
      <c r="H325" s="3" t="s">
        <v>856</v>
      </c>
      <c r="I325" s="39"/>
      <c r="J325" s="2"/>
      <c r="K325" s="2"/>
    </row>
    <row r="326" spans="1:11" ht="204" x14ac:dyDescent="0.25">
      <c r="A326" s="22">
        <v>43361</v>
      </c>
      <c r="B326" s="58" t="str">
        <f t="shared" ref="B326:B327" si="8">HYPERLINK("https://www.neh.gov/","National Endowment for the Humanities")</f>
        <v>National Endowment for the Humanities</v>
      </c>
      <c r="C326" s="58" t="s">
        <v>857</v>
      </c>
      <c r="D326" s="39" t="s">
        <v>11</v>
      </c>
      <c r="E326" s="39" t="s">
        <v>132</v>
      </c>
      <c r="F326" s="39"/>
      <c r="G326" s="39"/>
      <c r="H326" s="3" t="s">
        <v>858</v>
      </c>
      <c r="I326" s="39"/>
      <c r="J326" s="2"/>
      <c r="K326" s="2"/>
    </row>
    <row r="327" spans="1:11" ht="204" x14ac:dyDescent="0.25">
      <c r="A327" s="22">
        <v>43361</v>
      </c>
      <c r="B327" s="58" t="str">
        <f t="shared" si="8"/>
        <v>National Endowment for the Humanities</v>
      </c>
      <c r="C327" s="58" t="s">
        <v>859</v>
      </c>
      <c r="D327" s="39" t="s">
        <v>11</v>
      </c>
      <c r="E327" s="39" t="s">
        <v>132</v>
      </c>
      <c r="F327" s="39"/>
      <c r="G327" s="39"/>
      <c r="H327" s="3" t="s">
        <v>860</v>
      </c>
      <c r="I327" s="39"/>
      <c r="J327" s="2"/>
      <c r="K327" s="2"/>
    </row>
    <row r="328" spans="1:11" ht="165.75" x14ac:dyDescent="0.25">
      <c r="A328" s="22">
        <v>43361</v>
      </c>
      <c r="B328" s="58" t="s">
        <v>121</v>
      </c>
      <c r="C328" s="58" t="s">
        <v>861</v>
      </c>
      <c r="D328" s="39" t="s">
        <v>19</v>
      </c>
      <c r="E328" s="39" t="s">
        <v>862</v>
      </c>
      <c r="F328" s="39"/>
      <c r="G328" s="39"/>
      <c r="H328" s="3" t="s">
        <v>863</v>
      </c>
      <c r="I328" s="39"/>
      <c r="J328" s="2"/>
      <c r="K328" s="2"/>
    </row>
    <row r="329" spans="1:11" ht="178.5" x14ac:dyDescent="0.25">
      <c r="A329" s="22">
        <v>43361</v>
      </c>
      <c r="B329" s="58" t="str">
        <f>HYPERLINK("https://research.columbia.edu/","Columbia Office of the Executive Vice President")</f>
        <v>Columbia Office of the Executive Vice President</v>
      </c>
      <c r="C329" s="58" t="str">
        <f>HYPERLINK("https://research.columbia.edu/content/rise","Research Initiatives in Science and Engineering")</f>
        <v>Research Initiatives in Science and Engineering</v>
      </c>
      <c r="D329" s="39" t="s">
        <v>864</v>
      </c>
      <c r="E329" s="39" t="s">
        <v>865</v>
      </c>
      <c r="F329" s="40"/>
      <c r="G329" s="40" t="s">
        <v>866</v>
      </c>
      <c r="H329" s="7" t="s">
        <v>867</v>
      </c>
      <c r="I329" s="40">
        <v>43146</v>
      </c>
      <c r="J329" s="2"/>
      <c r="K329" s="2"/>
    </row>
    <row r="330" spans="1:11" ht="102" x14ac:dyDescent="0.25">
      <c r="A330" s="22">
        <v>43362</v>
      </c>
      <c r="B330" s="58" t="s">
        <v>868</v>
      </c>
      <c r="C330" s="58" t="s">
        <v>73</v>
      </c>
      <c r="D330" s="39" t="s">
        <v>16</v>
      </c>
      <c r="E330" s="39" t="s">
        <v>73</v>
      </c>
      <c r="F330" s="39"/>
      <c r="G330" s="39"/>
      <c r="H330" s="3" t="s">
        <v>869</v>
      </c>
      <c r="I330" s="39" t="s">
        <v>45</v>
      </c>
      <c r="J330" s="2"/>
      <c r="K330" s="2"/>
    </row>
    <row r="331" spans="1:11" ht="153" x14ac:dyDescent="0.25">
      <c r="A331" s="22">
        <v>43370</v>
      </c>
      <c r="B331" s="58" t="s">
        <v>870</v>
      </c>
      <c r="C331" s="58" t="str">
        <f>HYPERLINK("https://www.nypl.org/help/about-nypl/fellowships-institutes/center-for-scholars-and-writers/fellowships-at-the-cullman-center","Fellowship for Scholars and Writers")</f>
        <v>Fellowship for Scholars and Writers</v>
      </c>
      <c r="D331" s="39" t="s">
        <v>11</v>
      </c>
      <c r="E331" s="39" t="s">
        <v>21</v>
      </c>
      <c r="F331" s="39"/>
      <c r="G331" s="39" t="s">
        <v>871</v>
      </c>
      <c r="H331" s="3" t="s">
        <v>872</v>
      </c>
      <c r="I331" s="39"/>
      <c r="J331" s="2"/>
      <c r="K331" s="2"/>
    </row>
    <row r="332" spans="1:11" ht="153" x14ac:dyDescent="0.25">
      <c r="A332" s="22">
        <v>43372</v>
      </c>
      <c r="B332" s="58" t="str">
        <f>HYPERLINK("http://www.americanacademy.de/","American Academy in Berlin")</f>
        <v>American Academy in Berlin</v>
      </c>
      <c r="C332" s="58" t="s">
        <v>873</v>
      </c>
      <c r="D332" s="39" t="s">
        <v>16</v>
      </c>
      <c r="E332" s="39" t="s">
        <v>21</v>
      </c>
      <c r="F332" s="39"/>
      <c r="G332" s="39" t="s">
        <v>874</v>
      </c>
      <c r="H332" s="3" t="s">
        <v>875</v>
      </c>
      <c r="I332" s="39"/>
      <c r="J332" s="2"/>
      <c r="K332" s="2"/>
    </row>
    <row r="333" spans="1:11" x14ac:dyDescent="0.25">
      <c r="A333" s="22">
        <v>43373</v>
      </c>
      <c r="B333" s="58" t="s">
        <v>876</v>
      </c>
      <c r="C333" s="58" t="s">
        <v>877</v>
      </c>
      <c r="D333" s="39" t="s">
        <v>11</v>
      </c>
      <c r="E333" s="39" t="s">
        <v>12</v>
      </c>
      <c r="F333" s="39"/>
      <c r="G333" s="39"/>
      <c r="H333" s="1"/>
      <c r="I333" s="39"/>
      <c r="J333" s="2"/>
      <c r="K333" s="2"/>
    </row>
    <row r="334" spans="1:11" ht="191.25" x14ac:dyDescent="0.25">
      <c r="A334" s="22">
        <v>43373</v>
      </c>
      <c r="B334" s="58" t="s">
        <v>878</v>
      </c>
      <c r="C334" s="58" t="str">
        <f>HYPERLINK("http://careyinstitute.org/programs/nonfiction/nonfiction-fellowship/","Logan Nonfiction Program")</f>
        <v>Logan Nonfiction Program</v>
      </c>
      <c r="D334" s="39" t="s">
        <v>16</v>
      </c>
      <c r="E334" s="39" t="s">
        <v>21</v>
      </c>
      <c r="F334" s="39"/>
      <c r="G334" s="39"/>
      <c r="H334" s="3" t="s">
        <v>879</v>
      </c>
      <c r="I334" s="39"/>
      <c r="J334" s="2"/>
      <c r="K334" s="2"/>
    </row>
    <row r="335" spans="1:11" ht="153" x14ac:dyDescent="0.25">
      <c r="A335" s="22">
        <v>43373</v>
      </c>
      <c r="B335" s="58" t="s">
        <v>818</v>
      </c>
      <c r="C335" s="58" t="s">
        <v>880</v>
      </c>
      <c r="D335" s="39" t="s">
        <v>473</v>
      </c>
      <c r="E335" s="39" t="s">
        <v>17</v>
      </c>
      <c r="F335" s="39"/>
      <c r="G335" s="39"/>
      <c r="H335" s="3" t="s">
        <v>881</v>
      </c>
      <c r="I335" s="39"/>
      <c r="J335" s="2"/>
      <c r="K335" s="2"/>
    </row>
    <row r="336" spans="1:11" ht="63.75" x14ac:dyDescent="0.25">
      <c r="A336" s="22">
        <v>43373</v>
      </c>
      <c r="B336" s="58" t="s">
        <v>214</v>
      </c>
      <c r="C336" s="58" t="s">
        <v>882</v>
      </c>
      <c r="D336" s="39" t="s">
        <v>179</v>
      </c>
      <c r="E336" s="39" t="s">
        <v>120</v>
      </c>
      <c r="F336" s="39"/>
      <c r="G336" s="50">
        <v>2000</v>
      </c>
      <c r="H336" s="3" t="s">
        <v>883</v>
      </c>
      <c r="I336" s="39" t="s">
        <v>216</v>
      </c>
      <c r="J336" s="2"/>
      <c r="K336" s="2"/>
    </row>
    <row r="337" spans="1:11" ht="191.25" x14ac:dyDescent="0.25">
      <c r="A337" s="22">
        <v>43374</v>
      </c>
      <c r="B337" s="58" t="s">
        <v>884</v>
      </c>
      <c r="C337" s="58" t="s">
        <v>885</v>
      </c>
      <c r="D337" s="39" t="s">
        <v>66</v>
      </c>
      <c r="E337" s="39" t="s">
        <v>91</v>
      </c>
      <c r="F337" s="39" t="s">
        <v>92</v>
      </c>
      <c r="G337" s="39"/>
      <c r="H337" s="3" t="s">
        <v>886</v>
      </c>
      <c r="I337" s="39"/>
      <c r="J337" s="2"/>
      <c r="K337" s="2"/>
    </row>
    <row r="338" spans="1:11" x14ac:dyDescent="0.25">
      <c r="A338" s="22">
        <v>43374</v>
      </c>
      <c r="B338" s="58" t="s">
        <v>887</v>
      </c>
      <c r="C338" s="58" t="s">
        <v>888</v>
      </c>
      <c r="D338" s="39" t="s">
        <v>11</v>
      </c>
      <c r="E338" s="39" t="s">
        <v>17</v>
      </c>
      <c r="F338" s="39"/>
      <c r="G338" s="39"/>
      <c r="H338" s="1"/>
      <c r="I338" s="39"/>
      <c r="J338" s="2"/>
      <c r="K338" s="2"/>
    </row>
    <row r="339" spans="1:11" ht="191.25" x14ac:dyDescent="0.25">
      <c r="A339" s="22">
        <v>43374</v>
      </c>
      <c r="B339" s="58" t="s">
        <v>889</v>
      </c>
      <c r="C339" s="58" t="str">
        <f>HYPERLINK("http://www.harpofoundation.org/apply/emerging-artist-fellowship/","Emerging Artists Residency Fellowship at the Santa Fe Art Institute")</f>
        <v>Emerging Artists Residency Fellowship at the Santa Fe Art Institute</v>
      </c>
      <c r="D339" s="39" t="s">
        <v>286</v>
      </c>
      <c r="E339" s="39" t="s">
        <v>21</v>
      </c>
      <c r="F339" s="39" t="s">
        <v>92</v>
      </c>
      <c r="G339" s="39" t="s">
        <v>890</v>
      </c>
      <c r="H339" s="3" t="s">
        <v>891</v>
      </c>
      <c r="I339" s="39"/>
      <c r="J339" s="2"/>
      <c r="K339" s="2"/>
    </row>
    <row r="340" spans="1:11" x14ac:dyDescent="0.25">
      <c r="A340" s="22">
        <v>43374</v>
      </c>
      <c r="B340" s="58" t="s">
        <v>892</v>
      </c>
      <c r="C340" s="58" t="s">
        <v>675</v>
      </c>
      <c r="D340" s="39" t="s">
        <v>111</v>
      </c>
      <c r="E340" s="39" t="s">
        <v>17</v>
      </c>
      <c r="F340" s="39"/>
      <c r="G340" s="39"/>
      <c r="H340" s="1"/>
      <c r="I340" s="39"/>
      <c r="J340" s="2"/>
      <c r="K340" s="2"/>
    </row>
    <row r="341" spans="1:11" ht="178.5" x14ac:dyDescent="0.25">
      <c r="A341" s="22">
        <v>43374</v>
      </c>
      <c r="B341" s="58" t="str">
        <f>HYPERLINK("https://kellogg.nd.edu/","University of Notre Dame Kellogg Institute for International Studies")</f>
        <v>University of Notre Dame Kellogg Institute for International Studies</v>
      </c>
      <c r="C341" s="58" t="s">
        <v>893</v>
      </c>
      <c r="D341" s="39" t="s">
        <v>111</v>
      </c>
      <c r="E341" s="39" t="s">
        <v>154</v>
      </c>
      <c r="F341" s="39"/>
      <c r="G341" s="39" t="s">
        <v>894</v>
      </c>
      <c r="H341" s="3" t="s">
        <v>895</v>
      </c>
      <c r="I341" s="39"/>
      <c r="J341" s="2"/>
      <c r="K341" s="2"/>
    </row>
    <row r="342" spans="1:11" ht="89.25" x14ac:dyDescent="0.25">
      <c r="A342" s="22">
        <v>43375</v>
      </c>
      <c r="B342" s="58" t="s">
        <v>896</v>
      </c>
      <c r="C342" s="58" t="str">
        <f>HYPERLINK("http://researchfellowships.americancouncils.org/researchscholar","Title VIII Research Scholars Program")</f>
        <v>Title VIII Research Scholars Program</v>
      </c>
      <c r="D342" s="39" t="s">
        <v>292</v>
      </c>
      <c r="E342" s="39" t="s">
        <v>897</v>
      </c>
      <c r="F342" s="39"/>
      <c r="G342" s="39" t="s">
        <v>898</v>
      </c>
      <c r="H342" s="3" t="s">
        <v>899</v>
      </c>
      <c r="I342" s="39"/>
      <c r="J342" s="2"/>
      <c r="K342" s="2"/>
    </row>
    <row r="343" spans="1:11" ht="25.5" x14ac:dyDescent="0.25">
      <c r="A343" s="22">
        <v>43375</v>
      </c>
      <c r="B343" s="58" t="s">
        <v>121</v>
      </c>
      <c r="C343" s="58" t="s">
        <v>900</v>
      </c>
      <c r="D343" s="39" t="s">
        <v>211</v>
      </c>
      <c r="E343" s="39"/>
      <c r="F343" s="39"/>
      <c r="G343" s="39"/>
      <c r="H343" s="1"/>
      <c r="I343" s="39"/>
      <c r="J343" s="2"/>
      <c r="K343" s="2"/>
    </row>
    <row r="344" spans="1:11" ht="25.5" x14ac:dyDescent="0.25">
      <c r="A344" s="22">
        <v>43375</v>
      </c>
      <c r="B344" s="58" t="s">
        <v>121</v>
      </c>
      <c r="C344" s="58" t="s">
        <v>901</v>
      </c>
      <c r="D344" s="39" t="s">
        <v>211</v>
      </c>
      <c r="E344" s="39"/>
      <c r="F344" s="39"/>
      <c r="G344" s="39"/>
      <c r="H344" s="1"/>
      <c r="I344" s="39"/>
      <c r="J344" s="12"/>
      <c r="K344" s="13"/>
    </row>
    <row r="345" spans="1:11" ht="25.5" x14ac:dyDescent="0.25">
      <c r="A345" s="22">
        <v>43375</v>
      </c>
      <c r="B345" s="58" t="s">
        <v>121</v>
      </c>
      <c r="C345" s="58" t="s">
        <v>902</v>
      </c>
      <c r="D345" s="39" t="s">
        <v>211</v>
      </c>
      <c r="E345" s="39"/>
      <c r="F345" s="39"/>
      <c r="G345" s="39"/>
      <c r="H345" s="1"/>
      <c r="I345" s="39"/>
      <c r="J345" s="12"/>
      <c r="K345" s="13"/>
    </row>
    <row r="346" spans="1:11" ht="25.5" x14ac:dyDescent="0.25">
      <c r="A346" s="22">
        <v>43375</v>
      </c>
      <c r="B346" s="58" t="s">
        <v>121</v>
      </c>
      <c r="C346" s="58" t="s">
        <v>903</v>
      </c>
      <c r="D346" s="39" t="s">
        <v>211</v>
      </c>
      <c r="E346" s="39"/>
      <c r="F346" s="39"/>
      <c r="G346" s="39"/>
      <c r="H346" s="1"/>
      <c r="I346" s="39"/>
      <c r="J346" s="12"/>
      <c r="K346" s="13"/>
    </row>
    <row r="347" spans="1:11" ht="25.5" x14ac:dyDescent="0.25">
      <c r="A347" s="22">
        <v>43375</v>
      </c>
      <c r="B347" s="58" t="s">
        <v>121</v>
      </c>
      <c r="C347" s="58" t="s">
        <v>904</v>
      </c>
      <c r="D347" s="39" t="s">
        <v>211</v>
      </c>
      <c r="E347" s="39"/>
      <c r="F347" s="39"/>
      <c r="G347" s="39"/>
      <c r="H347" s="1"/>
      <c r="I347" s="39"/>
      <c r="J347" s="12"/>
      <c r="K347" s="13"/>
    </row>
    <row r="348" spans="1:11" ht="38.25" x14ac:dyDescent="0.25">
      <c r="A348" s="22">
        <v>43376</v>
      </c>
      <c r="B348" s="58" t="s">
        <v>121</v>
      </c>
      <c r="C348" s="58" t="s">
        <v>905</v>
      </c>
      <c r="D348" s="39" t="s">
        <v>47</v>
      </c>
      <c r="E348" s="39" t="s">
        <v>17</v>
      </c>
      <c r="F348" s="39"/>
      <c r="G348" s="39"/>
      <c r="H348" s="1"/>
      <c r="I348" s="39"/>
      <c r="J348" s="2"/>
      <c r="K348" s="2"/>
    </row>
    <row r="349" spans="1:11" ht="178.5" x14ac:dyDescent="0.25">
      <c r="A349" s="22">
        <v>43379</v>
      </c>
      <c r="B349" s="58" t="str">
        <f>HYPERLINK("https://www.obama.org/","Obama Foundation")</f>
        <v>Obama Foundation</v>
      </c>
      <c r="C349" s="58" t="s">
        <v>73</v>
      </c>
      <c r="D349" s="39" t="s">
        <v>16</v>
      </c>
      <c r="E349" s="39" t="s">
        <v>73</v>
      </c>
      <c r="F349" s="39"/>
      <c r="G349" s="39" t="s">
        <v>906</v>
      </c>
      <c r="H349" s="3" t="s">
        <v>907</v>
      </c>
      <c r="I349" s="39" t="s">
        <v>45</v>
      </c>
      <c r="J349" s="2"/>
      <c r="K349" s="2"/>
    </row>
    <row r="350" spans="1:11" ht="38.25" x14ac:dyDescent="0.25">
      <c r="A350" s="22">
        <v>43383</v>
      </c>
      <c r="B350" s="58" t="s">
        <v>121</v>
      </c>
      <c r="C350" s="58" t="s">
        <v>908</v>
      </c>
      <c r="D350" s="39" t="s">
        <v>90</v>
      </c>
      <c r="E350" s="39" t="s">
        <v>909</v>
      </c>
      <c r="F350" s="39"/>
      <c r="G350" s="39"/>
      <c r="H350" s="1"/>
      <c r="I350" s="39"/>
      <c r="J350" s="2"/>
      <c r="K350" s="2"/>
    </row>
    <row r="351" spans="1:11" ht="204" x14ac:dyDescent="0.25">
      <c r="A351" s="22">
        <v>43385</v>
      </c>
      <c r="B351" s="58" t="s">
        <v>400</v>
      </c>
      <c r="C351" s="58" t="s">
        <v>910</v>
      </c>
      <c r="D351" s="39" t="s">
        <v>911</v>
      </c>
      <c r="E351" s="39" t="s">
        <v>17</v>
      </c>
      <c r="F351" s="40"/>
      <c r="G351" s="39" t="s">
        <v>912</v>
      </c>
      <c r="H351" s="3" t="s">
        <v>913</v>
      </c>
      <c r="I351" s="40">
        <v>43073</v>
      </c>
      <c r="J351" s="2"/>
      <c r="K351" s="2"/>
    </row>
    <row r="352" spans="1:11" ht="204" x14ac:dyDescent="0.25">
      <c r="A352" s="22">
        <v>43385</v>
      </c>
      <c r="B352" s="58" t="s">
        <v>513</v>
      </c>
      <c r="C352" s="58" t="s">
        <v>914</v>
      </c>
      <c r="D352" s="39" t="s">
        <v>111</v>
      </c>
      <c r="E352" s="39" t="s">
        <v>73</v>
      </c>
      <c r="F352" s="39"/>
      <c r="G352" s="39" t="s">
        <v>915</v>
      </c>
      <c r="H352" s="3" t="s">
        <v>916</v>
      </c>
      <c r="I352" s="39" t="s">
        <v>45</v>
      </c>
      <c r="J352" s="2"/>
      <c r="K352" s="2"/>
    </row>
    <row r="353" spans="1:11" ht="38.25" x14ac:dyDescent="0.25">
      <c r="A353" s="22">
        <v>43388</v>
      </c>
      <c r="B353" s="58" t="s">
        <v>917</v>
      </c>
      <c r="C353" s="58" t="s">
        <v>577</v>
      </c>
      <c r="D353" s="39" t="s">
        <v>16</v>
      </c>
      <c r="E353" s="39" t="s">
        <v>95</v>
      </c>
      <c r="F353" s="39"/>
      <c r="G353" s="39"/>
      <c r="H353" s="1"/>
      <c r="I353" s="39"/>
      <c r="J353" s="2"/>
      <c r="K353" s="2"/>
    </row>
    <row r="354" spans="1:11" x14ac:dyDescent="0.25">
      <c r="A354" s="22">
        <v>43388</v>
      </c>
      <c r="B354" s="58" t="s">
        <v>918</v>
      </c>
      <c r="C354" s="58" t="s">
        <v>919</v>
      </c>
      <c r="D354" s="39" t="s">
        <v>16</v>
      </c>
      <c r="E354" s="39" t="s">
        <v>95</v>
      </c>
      <c r="F354" s="39"/>
      <c r="G354" s="39"/>
      <c r="H354" s="1"/>
      <c r="I354" s="39"/>
      <c r="J354" s="2"/>
      <c r="K354" s="2"/>
    </row>
    <row r="355" spans="1:11" ht="114.75" x14ac:dyDescent="0.25">
      <c r="A355" s="22">
        <v>43389</v>
      </c>
      <c r="B355" s="58" t="s">
        <v>920</v>
      </c>
      <c r="C355" s="58" t="s">
        <v>921</v>
      </c>
      <c r="D355" s="39" t="s">
        <v>16</v>
      </c>
      <c r="E355" s="39" t="s">
        <v>21</v>
      </c>
      <c r="F355" s="39"/>
      <c r="G355" s="39" t="s">
        <v>922</v>
      </c>
      <c r="H355" s="3" t="s">
        <v>923</v>
      </c>
      <c r="I355" s="39"/>
      <c r="J355" s="2"/>
      <c r="K355" s="2"/>
    </row>
    <row r="356" spans="1:11" ht="38.25" x14ac:dyDescent="0.25">
      <c r="A356" s="22">
        <v>43389</v>
      </c>
      <c r="B356" s="58" t="s">
        <v>27</v>
      </c>
      <c r="C356" s="58" t="s">
        <v>924</v>
      </c>
      <c r="D356" s="39" t="s">
        <v>245</v>
      </c>
      <c r="E356" s="39" t="s">
        <v>17</v>
      </c>
      <c r="F356" s="39"/>
      <c r="G356" s="39"/>
      <c r="H356" s="1"/>
      <c r="I356" s="39"/>
      <c r="J356" s="2"/>
      <c r="K356" s="2"/>
    </row>
    <row r="357" spans="1:11" ht="38.25" x14ac:dyDescent="0.25">
      <c r="A357" s="22">
        <v>43389</v>
      </c>
      <c r="B357" s="58" t="s">
        <v>27</v>
      </c>
      <c r="C357" s="58" t="s">
        <v>925</v>
      </c>
      <c r="D357" s="39" t="s">
        <v>204</v>
      </c>
      <c r="E357" s="39" t="s">
        <v>17</v>
      </c>
      <c r="F357" s="39"/>
      <c r="G357" s="39"/>
      <c r="H357" s="1"/>
      <c r="I357" s="39"/>
      <c r="J357" s="2"/>
      <c r="K357" s="2"/>
    </row>
    <row r="358" spans="1:11" ht="38.25" x14ac:dyDescent="0.25">
      <c r="A358" s="22">
        <v>43393</v>
      </c>
      <c r="B358" s="58" t="s">
        <v>121</v>
      </c>
      <c r="C358" s="58" t="s">
        <v>926</v>
      </c>
      <c r="D358" s="39" t="s">
        <v>90</v>
      </c>
      <c r="E358" s="39" t="s">
        <v>17</v>
      </c>
      <c r="F358" s="39"/>
      <c r="G358" s="39"/>
      <c r="H358" s="1"/>
      <c r="I358" s="39"/>
      <c r="J358" s="2"/>
      <c r="K358" s="2"/>
    </row>
    <row r="359" spans="1:11" ht="38.25" x14ac:dyDescent="0.25">
      <c r="A359" s="22">
        <v>43393</v>
      </c>
      <c r="B359" s="58" t="s">
        <v>121</v>
      </c>
      <c r="C359" s="58" t="s">
        <v>927</v>
      </c>
      <c r="D359" s="39" t="s">
        <v>928</v>
      </c>
      <c r="E359" s="39" t="s">
        <v>17</v>
      </c>
      <c r="F359" s="39"/>
      <c r="G359" s="39"/>
      <c r="H359" s="1"/>
      <c r="I359" s="39"/>
      <c r="J359" s="2"/>
      <c r="K359" s="2"/>
    </row>
    <row r="360" spans="1:11" ht="38.25" x14ac:dyDescent="0.25">
      <c r="A360" s="22">
        <v>43393</v>
      </c>
      <c r="B360" s="58" t="s">
        <v>121</v>
      </c>
      <c r="C360" s="58" t="s">
        <v>929</v>
      </c>
      <c r="D360" s="39" t="s">
        <v>47</v>
      </c>
      <c r="E360" s="39" t="s">
        <v>17</v>
      </c>
      <c r="F360" s="39"/>
      <c r="G360" s="39"/>
      <c r="H360" s="1"/>
      <c r="I360" s="39"/>
      <c r="J360" s="2"/>
      <c r="K360" s="2"/>
    </row>
    <row r="361" spans="1:11" ht="191.25" x14ac:dyDescent="0.25">
      <c r="A361" s="22">
        <v>43397</v>
      </c>
      <c r="B361" s="58" t="str">
        <f>HYPERLINK("https://www.neh.gov/","National Endowment for the Humanities")</f>
        <v>National Endowment for the Humanities</v>
      </c>
      <c r="C361" s="58" t="str">
        <f>HYPERLINK("https://www.neh.gov/grants/education/dialogues-the-experience-war","Dialogues on the Experience of War")</f>
        <v>Dialogues on the Experience of War</v>
      </c>
      <c r="D361" s="39" t="s">
        <v>11</v>
      </c>
      <c r="E361" s="39" t="s">
        <v>132</v>
      </c>
      <c r="F361" s="39"/>
      <c r="G361" s="39" t="s">
        <v>930</v>
      </c>
      <c r="H361" s="3" t="s">
        <v>931</v>
      </c>
      <c r="I361" s="39"/>
      <c r="J361" s="2"/>
      <c r="K361" s="2"/>
    </row>
    <row r="362" spans="1:11" x14ac:dyDescent="0.25">
      <c r="A362" s="22">
        <v>43398</v>
      </c>
      <c r="B362" s="58" t="s">
        <v>104</v>
      </c>
      <c r="C362" s="58" t="s">
        <v>932</v>
      </c>
      <c r="D362" s="39" t="s">
        <v>11</v>
      </c>
      <c r="E362" s="39" t="s">
        <v>236</v>
      </c>
      <c r="F362" s="39"/>
      <c r="G362" s="39"/>
      <c r="H362" s="1"/>
      <c r="I362" s="39"/>
      <c r="J362" s="2"/>
      <c r="K362" s="2"/>
    </row>
    <row r="363" spans="1:11" ht="191.25" x14ac:dyDescent="0.25">
      <c r="A363" s="22">
        <v>43398</v>
      </c>
      <c r="B363" s="58" t="s">
        <v>933</v>
      </c>
      <c r="C363" s="58" t="str">
        <f>HYPERLINK("https://www.eui.eu/ProgrammesAndFellowships/MaxWeberProgramme/AboutTheProgramme/AboutTheMWP","Max Weber Programme for Postdoctoral Studies Fellowship")</f>
        <v>Max Weber Programme for Postdoctoral Studies Fellowship</v>
      </c>
      <c r="D363" s="39" t="s">
        <v>16</v>
      </c>
      <c r="E363" s="39" t="s">
        <v>21</v>
      </c>
      <c r="F363" s="39" t="s">
        <v>311</v>
      </c>
      <c r="G363" s="54" t="s">
        <v>934</v>
      </c>
      <c r="H363" s="3" t="s">
        <v>935</v>
      </c>
      <c r="I363" s="39"/>
      <c r="J363" s="2"/>
      <c r="K363" s="2"/>
    </row>
    <row r="364" spans="1:11" ht="165.75" x14ac:dyDescent="0.25">
      <c r="A364" s="22">
        <v>43398</v>
      </c>
      <c r="B364" s="58" t="s">
        <v>121</v>
      </c>
      <c r="C364" s="58" t="str">
        <f>HYPERLINK("https://www.nsf.gov/funding/pgm_summ.jsp?pims_id=503144","Division of Earth Sciences Postdoctoral Fellowships")</f>
        <v>Division of Earth Sciences Postdoctoral Fellowships</v>
      </c>
      <c r="D364" s="39" t="s">
        <v>90</v>
      </c>
      <c r="E364" s="39" t="s">
        <v>465</v>
      </c>
      <c r="F364" s="39" t="s">
        <v>92</v>
      </c>
      <c r="G364" s="39"/>
      <c r="H364" s="3" t="s">
        <v>936</v>
      </c>
      <c r="I364" s="39" t="s">
        <v>45</v>
      </c>
      <c r="J364" s="2"/>
      <c r="K364" s="2"/>
    </row>
    <row r="365" spans="1:11" ht="38.25" x14ac:dyDescent="0.25">
      <c r="A365" s="22">
        <v>43398</v>
      </c>
      <c r="B365" s="58" t="s">
        <v>121</v>
      </c>
      <c r="C365" s="58" t="s">
        <v>937</v>
      </c>
      <c r="D365" s="39" t="s">
        <v>47</v>
      </c>
      <c r="E365" s="39" t="s">
        <v>17</v>
      </c>
      <c r="F365" s="39"/>
      <c r="G365" s="39"/>
      <c r="H365" s="1"/>
      <c r="I365" s="39"/>
      <c r="J365" s="2"/>
      <c r="K365" s="2"/>
    </row>
    <row r="366" spans="1:11" ht="38.25" x14ac:dyDescent="0.25">
      <c r="A366" s="22">
        <v>43398</v>
      </c>
      <c r="B366" s="58" t="s">
        <v>121</v>
      </c>
      <c r="C366" s="58" t="s">
        <v>938</v>
      </c>
      <c r="D366" s="39" t="s">
        <v>47</v>
      </c>
      <c r="E366" s="39" t="s">
        <v>17</v>
      </c>
      <c r="F366" s="39"/>
      <c r="G366" s="39"/>
      <c r="H366" s="1"/>
      <c r="I366" s="39"/>
      <c r="J366" s="2"/>
      <c r="K366" s="2"/>
    </row>
    <row r="367" spans="1:11" ht="76.5" x14ac:dyDescent="0.25">
      <c r="A367" s="22">
        <v>43404</v>
      </c>
      <c r="B367" s="58" t="str">
        <f>HYPERLINK("http://www.crassh.cam.ac.uk/","CENTRE FOR RESEARCH IN THE ARTS, SOCIAL SCIENCES AND HUMANITIES")</f>
        <v>CENTRE FOR RESEARCH IN THE ARTS, SOCIAL SCIENCES AND HUMANITIES</v>
      </c>
      <c r="C367" s="58" t="s">
        <v>939</v>
      </c>
      <c r="D367" s="39" t="s">
        <v>143</v>
      </c>
      <c r="E367" s="39" t="s">
        <v>21</v>
      </c>
      <c r="F367" s="39"/>
      <c r="G367" s="39"/>
      <c r="H367" s="3" t="s">
        <v>940</v>
      </c>
      <c r="I367" s="39"/>
      <c r="J367" s="2"/>
      <c r="K367" s="2"/>
    </row>
    <row r="368" spans="1:11" ht="153" x14ac:dyDescent="0.25">
      <c r="A368" s="22">
        <v>43404</v>
      </c>
      <c r="B368" s="58" t="s">
        <v>941</v>
      </c>
      <c r="C368" s="58" t="s">
        <v>942</v>
      </c>
      <c r="D368" s="39" t="s">
        <v>19</v>
      </c>
      <c r="E368" s="39" t="s">
        <v>21</v>
      </c>
      <c r="F368" s="39"/>
      <c r="G368" s="50">
        <v>50000</v>
      </c>
      <c r="H368" s="3" t="s">
        <v>943</v>
      </c>
      <c r="I368" s="39"/>
      <c r="J368" s="2"/>
      <c r="K368" s="2"/>
    </row>
    <row r="369" spans="1:11" ht="140.25" x14ac:dyDescent="0.25">
      <c r="A369" s="22">
        <v>43404</v>
      </c>
      <c r="B369" s="58" t="s">
        <v>944</v>
      </c>
      <c r="C369" s="58" t="s">
        <v>945</v>
      </c>
      <c r="D369" s="39" t="s">
        <v>90</v>
      </c>
      <c r="E369" s="39" t="s">
        <v>946</v>
      </c>
      <c r="F369" s="39"/>
      <c r="G369" s="39"/>
      <c r="H369" s="3" t="s">
        <v>947</v>
      </c>
      <c r="I369" s="39"/>
      <c r="J369" s="2"/>
      <c r="K369" s="2"/>
    </row>
    <row r="370" spans="1:11" ht="25.5" x14ac:dyDescent="0.25">
      <c r="A370" s="22">
        <v>43404</v>
      </c>
      <c r="B370" s="58" t="s">
        <v>121</v>
      </c>
      <c r="C370" s="58" t="s">
        <v>948</v>
      </c>
      <c r="D370" s="39" t="s">
        <v>211</v>
      </c>
      <c r="E370" s="39"/>
      <c r="F370" s="39"/>
      <c r="G370" s="39"/>
      <c r="H370" s="1"/>
      <c r="I370" s="39"/>
      <c r="J370" s="2"/>
      <c r="K370" s="2"/>
    </row>
    <row r="371" spans="1:11" ht="25.5" x14ac:dyDescent="0.25">
      <c r="A371" s="22">
        <v>43404</v>
      </c>
      <c r="B371" s="58" t="s">
        <v>121</v>
      </c>
      <c r="C371" s="58" t="s">
        <v>949</v>
      </c>
      <c r="D371" s="39" t="s">
        <v>211</v>
      </c>
      <c r="E371" s="39"/>
      <c r="F371" s="39"/>
      <c r="G371" s="39"/>
      <c r="H371" s="1"/>
      <c r="I371" s="39"/>
      <c r="J371" s="2"/>
      <c r="K371" s="2"/>
    </row>
    <row r="372" spans="1:11" ht="25.5" x14ac:dyDescent="0.25">
      <c r="A372" s="22">
        <v>43404</v>
      </c>
      <c r="B372" s="58" t="s">
        <v>121</v>
      </c>
      <c r="C372" s="58" t="s">
        <v>950</v>
      </c>
      <c r="D372" s="39" t="s">
        <v>211</v>
      </c>
      <c r="E372" s="39"/>
      <c r="F372" s="39"/>
      <c r="G372" s="39"/>
      <c r="H372" s="1"/>
      <c r="I372" s="39"/>
      <c r="J372" s="2"/>
      <c r="K372" s="2"/>
    </row>
    <row r="373" spans="1:11" ht="25.5" x14ac:dyDescent="0.25">
      <c r="A373" s="22">
        <v>43404</v>
      </c>
      <c r="B373" s="58" t="s">
        <v>121</v>
      </c>
      <c r="C373" s="58" t="s">
        <v>951</v>
      </c>
      <c r="D373" s="39" t="s">
        <v>211</v>
      </c>
      <c r="E373" s="39"/>
      <c r="F373" s="39"/>
      <c r="G373" s="39"/>
      <c r="H373" s="1"/>
      <c r="I373" s="39"/>
      <c r="J373" s="2"/>
      <c r="K373" s="2"/>
    </row>
    <row r="374" spans="1:11" ht="38.25" x14ac:dyDescent="0.25">
      <c r="A374" s="22">
        <v>43404</v>
      </c>
      <c r="B374" s="58" t="s">
        <v>121</v>
      </c>
      <c r="C374" s="58" t="s">
        <v>952</v>
      </c>
      <c r="D374" s="39" t="s">
        <v>473</v>
      </c>
      <c r="E374" s="39"/>
      <c r="F374" s="39"/>
      <c r="G374" s="39"/>
      <c r="H374" s="1"/>
      <c r="I374" s="39"/>
      <c r="J374" s="2"/>
      <c r="K374" s="2"/>
    </row>
    <row r="375" spans="1:11" ht="25.5" x14ac:dyDescent="0.25">
      <c r="A375" s="22">
        <v>43404</v>
      </c>
      <c r="B375" s="58" t="s">
        <v>121</v>
      </c>
      <c r="C375" s="58" t="s">
        <v>953</v>
      </c>
      <c r="D375" s="39" t="s">
        <v>473</v>
      </c>
      <c r="E375" s="39"/>
      <c r="F375" s="39"/>
      <c r="G375" s="39"/>
      <c r="H375" s="20"/>
      <c r="I375" s="39"/>
      <c r="J375" s="2"/>
      <c r="K375" s="2"/>
    </row>
    <row r="376" spans="1:11" ht="38.25" x14ac:dyDescent="0.25">
      <c r="A376" s="22">
        <v>43404</v>
      </c>
      <c r="B376" s="58" t="s">
        <v>121</v>
      </c>
      <c r="C376" s="58" t="s">
        <v>954</v>
      </c>
      <c r="D376" s="39" t="s">
        <v>473</v>
      </c>
      <c r="E376" s="39"/>
      <c r="F376" s="39"/>
      <c r="G376" s="39"/>
      <c r="H376" s="1"/>
      <c r="I376" s="39"/>
      <c r="J376" s="2"/>
      <c r="K376" s="2"/>
    </row>
    <row r="377" spans="1:11" ht="63.75" x14ac:dyDescent="0.25">
      <c r="A377" s="22">
        <v>43404</v>
      </c>
      <c r="B377" s="58" t="s">
        <v>46</v>
      </c>
      <c r="C377" s="58" t="s">
        <v>955</v>
      </c>
      <c r="D377" s="39" t="s">
        <v>47</v>
      </c>
      <c r="E377" s="39" t="s">
        <v>17</v>
      </c>
      <c r="F377" s="39"/>
      <c r="G377" s="39" t="s">
        <v>956</v>
      </c>
      <c r="H377" s="3" t="s">
        <v>957</v>
      </c>
      <c r="I377" s="39"/>
      <c r="J377" s="2"/>
      <c r="K377" s="2"/>
    </row>
    <row r="378" spans="1:11" ht="114.75" x14ac:dyDescent="0.25">
      <c r="A378" s="22">
        <v>43404</v>
      </c>
      <c r="B378" s="58" t="s">
        <v>958</v>
      </c>
      <c r="C378" s="58" t="s">
        <v>959</v>
      </c>
      <c r="D378" s="39" t="s">
        <v>111</v>
      </c>
      <c r="E378" s="39" t="s">
        <v>21</v>
      </c>
      <c r="F378" s="39" t="s">
        <v>960</v>
      </c>
      <c r="G378" s="50">
        <v>100000</v>
      </c>
      <c r="H378" s="3" t="s">
        <v>961</v>
      </c>
      <c r="I378" s="39"/>
      <c r="J378" s="2"/>
      <c r="K378" s="2"/>
    </row>
    <row r="379" spans="1:11" ht="165.75" x14ac:dyDescent="0.25">
      <c r="A379" s="22">
        <v>43405</v>
      </c>
      <c r="B379" s="58" t="s">
        <v>962</v>
      </c>
      <c r="C379" s="58" t="s">
        <v>963</v>
      </c>
      <c r="D379" s="39" t="s">
        <v>143</v>
      </c>
      <c r="E379" s="39" t="s">
        <v>21</v>
      </c>
      <c r="F379" s="39"/>
      <c r="G379" s="39" t="s">
        <v>964</v>
      </c>
      <c r="H379" s="3" t="s">
        <v>965</v>
      </c>
      <c r="I379" s="39"/>
      <c r="J379" s="2"/>
      <c r="K379" s="2"/>
    </row>
    <row r="380" spans="1:11" ht="293.25" x14ac:dyDescent="0.25">
      <c r="A380" s="22">
        <v>43405</v>
      </c>
      <c r="B380" s="58" t="s">
        <v>966</v>
      </c>
      <c r="C380" s="58" t="s">
        <v>967</v>
      </c>
      <c r="D380" s="39" t="s">
        <v>11</v>
      </c>
      <c r="E380" s="39" t="s">
        <v>21</v>
      </c>
      <c r="F380" s="39"/>
      <c r="G380" s="39" t="s">
        <v>968</v>
      </c>
      <c r="H380" s="3" t="s">
        <v>969</v>
      </c>
      <c r="I380" s="39"/>
      <c r="J380" s="2"/>
      <c r="K380" s="2"/>
    </row>
    <row r="381" spans="1:11" ht="25.5" x14ac:dyDescent="0.25">
      <c r="A381" s="22">
        <v>43405</v>
      </c>
      <c r="B381" s="58" t="str">
        <f>HYPERLINK("https://www.harvard.edu/","Harvard University ")</f>
        <v xml:space="preserve">Harvard University </v>
      </c>
      <c r="C381" s="58" t="s">
        <v>970</v>
      </c>
      <c r="D381" s="39" t="s">
        <v>971</v>
      </c>
      <c r="E381" s="39" t="s">
        <v>465</v>
      </c>
      <c r="F381" s="39" t="s">
        <v>972</v>
      </c>
      <c r="G381" s="39" t="s">
        <v>973</v>
      </c>
      <c r="H381" s="3" t="s">
        <v>974</v>
      </c>
      <c r="I381" s="39"/>
      <c r="J381" s="2"/>
      <c r="K381" s="2"/>
    </row>
    <row r="382" spans="1:11" ht="114.75" x14ac:dyDescent="0.25">
      <c r="A382" s="22">
        <v>43405</v>
      </c>
      <c r="B382" s="58" t="s">
        <v>975</v>
      </c>
      <c r="C382" s="58" t="s">
        <v>963</v>
      </c>
      <c r="D382" s="39" t="s">
        <v>19</v>
      </c>
      <c r="E382" s="39" t="s">
        <v>73</v>
      </c>
      <c r="F382" s="39"/>
      <c r="G382" s="39"/>
      <c r="H382" s="3" t="s">
        <v>976</v>
      </c>
      <c r="I382" s="40">
        <v>43090</v>
      </c>
      <c r="J382" s="2"/>
      <c r="K382" s="2"/>
    </row>
    <row r="383" spans="1:11" ht="63.75" x14ac:dyDescent="0.25">
      <c r="A383" s="22">
        <v>43405</v>
      </c>
      <c r="B383" s="58" t="s">
        <v>977</v>
      </c>
      <c r="C383" s="58" t="s">
        <v>978</v>
      </c>
      <c r="D383" s="39" t="s">
        <v>19</v>
      </c>
      <c r="E383" s="39" t="s">
        <v>17</v>
      </c>
      <c r="F383" s="39"/>
      <c r="G383" s="39" t="s">
        <v>979</v>
      </c>
      <c r="H383" s="3" t="s">
        <v>980</v>
      </c>
      <c r="I383" s="39"/>
      <c r="J383" s="2"/>
      <c r="K383" s="2"/>
    </row>
    <row r="384" spans="1:11" ht="331.5" x14ac:dyDescent="0.25">
      <c r="A384" s="22">
        <v>43405</v>
      </c>
      <c r="B384" s="58" t="s">
        <v>981</v>
      </c>
      <c r="C384" s="58" t="s">
        <v>982</v>
      </c>
      <c r="D384" s="39" t="s">
        <v>983</v>
      </c>
      <c r="E384" s="39" t="s">
        <v>984</v>
      </c>
      <c r="F384" s="39"/>
      <c r="G384" s="39"/>
      <c r="H384" s="3" t="s">
        <v>985</v>
      </c>
      <c r="I384" s="39"/>
      <c r="J384" s="2"/>
      <c r="K384" s="2"/>
    </row>
    <row r="385" spans="1:11" ht="38.25" x14ac:dyDescent="0.25">
      <c r="A385" s="22">
        <v>43405</v>
      </c>
      <c r="B385" s="58" t="s">
        <v>986</v>
      </c>
      <c r="C385" s="58" t="s">
        <v>987</v>
      </c>
      <c r="D385" s="39" t="s">
        <v>211</v>
      </c>
      <c r="E385" s="39" t="s">
        <v>12</v>
      </c>
      <c r="F385" s="39"/>
      <c r="G385" s="39"/>
      <c r="H385" s="1"/>
      <c r="I385" s="39"/>
      <c r="J385" s="2"/>
      <c r="K385" s="2"/>
    </row>
    <row r="386" spans="1:11" ht="191.25" x14ac:dyDescent="0.25">
      <c r="A386" s="22">
        <v>43405</v>
      </c>
      <c r="B386" s="58" t="s">
        <v>238</v>
      </c>
      <c r="C386" s="58" t="s">
        <v>988</v>
      </c>
      <c r="D386" s="39" t="s">
        <v>179</v>
      </c>
      <c r="E386" s="39" t="s">
        <v>12</v>
      </c>
      <c r="F386" s="39" t="s">
        <v>989</v>
      </c>
      <c r="G386" s="39"/>
      <c r="H386" s="3" t="s">
        <v>990</v>
      </c>
      <c r="I386" s="39" t="s">
        <v>216</v>
      </c>
      <c r="J386" s="2"/>
      <c r="K386" s="2"/>
    </row>
    <row r="387" spans="1:11" ht="140.25" x14ac:dyDescent="0.25">
      <c r="A387" s="22">
        <v>43405</v>
      </c>
      <c r="B387" s="58" t="s">
        <v>214</v>
      </c>
      <c r="C387" s="58" t="s">
        <v>991</v>
      </c>
      <c r="D387" s="39" t="s">
        <v>179</v>
      </c>
      <c r="E387" s="39" t="s">
        <v>543</v>
      </c>
      <c r="F387" s="39"/>
      <c r="G387" s="39"/>
      <c r="H387" s="3" t="s">
        <v>992</v>
      </c>
      <c r="I387" s="39" t="s">
        <v>216</v>
      </c>
      <c r="J387" s="5"/>
      <c r="K387" s="5"/>
    </row>
    <row r="388" spans="1:11" ht="63.75" x14ac:dyDescent="0.25">
      <c r="A388" s="22">
        <v>43405</v>
      </c>
      <c r="B388" s="58" t="str">
        <f t="shared" ref="B388:B390" si="9">HYPERLINK("https://www.archaeological.org/","Archeological Institute of America")</f>
        <v>Archeological Institute of America</v>
      </c>
      <c r="C388" s="61" t="str">
        <f>HYPERLINK("https://www.archaeological.org/grants/701","Helen M. Woodruff Fellowship of the AIA and the American Academy in Rome")</f>
        <v>Helen M. Woodruff Fellowship of the AIA and the American Academy in Rome</v>
      </c>
      <c r="D388" s="39" t="s">
        <v>94</v>
      </c>
      <c r="E388" s="39" t="s">
        <v>21</v>
      </c>
      <c r="F388" s="39"/>
      <c r="G388" s="50">
        <v>10000</v>
      </c>
      <c r="H388" s="3" t="s">
        <v>993</v>
      </c>
      <c r="I388" s="39"/>
      <c r="J388" s="2"/>
      <c r="K388" s="2"/>
    </row>
    <row r="389" spans="1:11" ht="76.5" x14ac:dyDescent="0.25">
      <c r="A389" s="22">
        <v>43405</v>
      </c>
      <c r="B389" s="58" t="str">
        <f t="shared" si="9"/>
        <v>Archeological Institute of America</v>
      </c>
      <c r="C389" s="58" t="s">
        <v>994</v>
      </c>
      <c r="D389" s="39" t="s">
        <v>94</v>
      </c>
      <c r="E389" s="39" t="s">
        <v>91</v>
      </c>
      <c r="F389" s="39"/>
      <c r="G389" s="39" t="s">
        <v>995</v>
      </c>
      <c r="H389" s="3" t="s">
        <v>996</v>
      </c>
      <c r="I389" s="39"/>
      <c r="J389" s="2"/>
      <c r="K389" s="2"/>
    </row>
    <row r="390" spans="1:11" ht="114.75" x14ac:dyDescent="0.25">
      <c r="A390" s="22">
        <v>43405</v>
      </c>
      <c r="B390" s="58" t="str">
        <f t="shared" si="9"/>
        <v>Archeological Institute of America</v>
      </c>
      <c r="C390" s="58" t="str">
        <f>HYPERLINK("https://www.archaeological.org/grants/700","Olivia James Traveling Fellowship")</f>
        <v>Olivia James Traveling Fellowship</v>
      </c>
      <c r="D390" s="39" t="s">
        <v>94</v>
      </c>
      <c r="E390" s="39" t="s">
        <v>91</v>
      </c>
      <c r="F390" s="39" t="s">
        <v>997</v>
      </c>
      <c r="G390" s="39"/>
      <c r="H390" s="3" t="s">
        <v>998</v>
      </c>
      <c r="I390" s="39"/>
      <c r="J390" s="2"/>
      <c r="K390" s="2"/>
    </row>
    <row r="391" spans="1:11" ht="114.75" x14ac:dyDescent="0.25">
      <c r="A391" s="22">
        <v>43406</v>
      </c>
      <c r="B391" s="58" t="str">
        <f>HYPERLINK("https://irh.wisc.edu","Institute for Research in the Humanities at University of Wisconsin at Madison")</f>
        <v>Institute for Research in the Humanities at University of Wisconsin at Madison</v>
      </c>
      <c r="C391" s="58" t="str">
        <f>HYPERLINK("https://irh.wisc.edu/fellowships/solmsen","Solmsen Post-doctoral Fellowships")</f>
        <v>Solmsen Post-doctoral Fellowships</v>
      </c>
      <c r="D391" s="39" t="s">
        <v>11</v>
      </c>
      <c r="E391" s="39" t="s">
        <v>21</v>
      </c>
      <c r="F391" s="39"/>
      <c r="G391" s="50">
        <v>55000</v>
      </c>
      <c r="H391" s="3" t="s">
        <v>999</v>
      </c>
      <c r="I391" s="39"/>
      <c r="J391" s="2"/>
      <c r="K391" s="2"/>
    </row>
    <row r="392" spans="1:11" ht="140.25" x14ac:dyDescent="0.25">
      <c r="A392" s="22">
        <v>43406</v>
      </c>
      <c r="B392" s="58" t="s">
        <v>1000</v>
      </c>
      <c r="C392" s="58" t="s">
        <v>1001</v>
      </c>
      <c r="D392" s="39" t="s">
        <v>33</v>
      </c>
      <c r="E392" s="39" t="s">
        <v>17</v>
      </c>
      <c r="F392" s="39"/>
      <c r="G392" s="39" t="s">
        <v>426</v>
      </c>
      <c r="H392" s="3" t="s">
        <v>1002</v>
      </c>
      <c r="I392" s="39"/>
      <c r="J392" s="2"/>
      <c r="K392" s="2"/>
    </row>
    <row r="393" spans="1:11" ht="114.75" x14ac:dyDescent="0.25">
      <c r="A393" s="22">
        <v>43410</v>
      </c>
      <c r="B393" s="58" t="s">
        <v>1003</v>
      </c>
      <c r="C393" s="58" t="s">
        <v>675</v>
      </c>
      <c r="D393" s="39" t="s">
        <v>33</v>
      </c>
      <c r="E393" s="39" t="s">
        <v>17</v>
      </c>
      <c r="F393" s="39"/>
      <c r="G393" s="39"/>
      <c r="H393" s="1" t="s">
        <v>1004</v>
      </c>
      <c r="I393" s="39"/>
      <c r="J393" s="2"/>
      <c r="K393" s="2"/>
    </row>
    <row r="394" spans="1:11" ht="51" x14ac:dyDescent="0.25">
      <c r="A394" s="22">
        <v>43410</v>
      </c>
      <c r="B394" s="58" t="s">
        <v>1005</v>
      </c>
      <c r="C394" s="58" t="s">
        <v>1006</v>
      </c>
      <c r="D394" s="39" t="s">
        <v>19</v>
      </c>
      <c r="E394" s="39" t="s">
        <v>17</v>
      </c>
      <c r="F394" s="39"/>
      <c r="G394" s="39" t="s">
        <v>1007</v>
      </c>
      <c r="H394" s="3" t="s">
        <v>1008</v>
      </c>
      <c r="I394" s="39"/>
      <c r="J394" s="2"/>
      <c r="K394" s="2"/>
    </row>
    <row r="395" spans="1:11" ht="38.25" x14ac:dyDescent="0.25">
      <c r="A395" s="22">
        <v>43410</v>
      </c>
      <c r="B395" s="58" t="s">
        <v>27</v>
      </c>
      <c r="C395" s="58" t="s">
        <v>1009</v>
      </c>
      <c r="D395" s="39" t="s">
        <v>245</v>
      </c>
      <c r="E395" s="39" t="s">
        <v>17</v>
      </c>
      <c r="F395" s="39"/>
      <c r="G395" s="39"/>
      <c r="H395" s="1"/>
      <c r="I395" s="39"/>
      <c r="J395" s="2"/>
      <c r="K395" s="2"/>
    </row>
    <row r="396" spans="1:11" ht="38.25" x14ac:dyDescent="0.25">
      <c r="A396" s="22">
        <v>43411</v>
      </c>
      <c r="B396" s="58" t="s">
        <v>27</v>
      </c>
      <c r="C396" s="58" t="s">
        <v>1010</v>
      </c>
      <c r="D396" s="39" t="s">
        <v>179</v>
      </c>
      <c r="E396" s="39" t="s">
        <v>17</v>
      </c>
      <c r="F396" s="39"/>
      <c r="G396" s="39"/>
      <c r="H396" s="1"/>
      <c r="I396" s="39"/>
      <c r="J396" s="5"/>
      <c r="K396" s="5"/>
    </row>
    <row r="397" spans="1:11" ht="114.75" x14ac:dyDescent="0.25">
      <c r="A397" s="22">
        <v>43412</v>
      </c>
      <c r="B397" s="58" t="str">
        <f>HYPERLINK("http://www.acls.org/","American Council of Learned Societies")</f>
        <v>American Council of Learned Societies</v>
      </c>
      <c r="C397" s="58" t="str">
        <f>HYPERLINK("https://www.google.com/url?q=http://www.acls.org/programs/chinese-culture/&amp;ust=1512575400000000&amp;usg=AFQjCNG21_LbPmtjwDoWSLUstZH9aTj7-w&amp;hl=en&amp;source=gmail","Comparative Perspectives on Chinese Culture and Society")</f>
        <v>Comparative Perspectives on Chinese Culture and Society</v>
      </c>
      <c r="D397" s="39" t="s">
        <v>127</v>
      </c>
      <c r="E397" s="39" t="s">
        <v>258</v>
      </c>
      <c r="F397" s="39"/>
      <c r="G397" s="39" t="s">
        <v>1011</v>
      </c>
      <c r="H397" s="3" t="s">
        <v>1012</v>
      </c>
      <c r="I397" s="39"/>
      <c r="J397" s="2"/>
      <c r="K397" s="2"/>
    </row>
    <row r="398" spans="1:11" ht="63.75" x14ac:dyDescent="0.25">
      <c r="A398" s="22">
        <v>43419</v>
      </c>
      <c r="B398" s="58" t="s">
        <v>1013</v>
      </c>
      <c r="C398" s="58" t="s">
        <v>1014</v>
      </c>
      <c r="D398" s="39" t="s">
        <v>11</v>
      </c>
      <c r="E398" s="39" t="s">
        <v>154</v>
      </c>
      <c r="F398" s="39"/>
      <c r="G398" s="39" t="s">
        <v>1015</v>
      </c>
      <c r="H398" s="3" t="s">
        <v>1016</v>
      </c>
      <c r="I398" s="39"/>
      <c r="J398" s="2"/>
      <c r="K398" s="2"/>
    </row>
    <row r="399" spans="1:11" ht="76.5" x14ac:dyDescent="0.25">
      <c r="A399" s="22">
        <v>43419</v>
      </c>
      <c r="B399" s="58" t="s">
        <v>1017</v>
      </c>
      <c r="C399" s="58" t="s">
        <v>1018</v>
      </c>
      <c r="D399" s="39" t="s">
        <v>16</v>
      </c>
      <c r="E399" s="39" t="s">
        <v>465</v>
      </c>
      <c r="F399" s="39" t="s">
        <v>1019</v>
      </c>
      <c r="G399" s="50">
        <v>30000</v>
      </c>
      <c r="H399" s="3" t="s">
        <v>1020</v>
      </c>
      <c r="I399" s="39"/>
      <c r="J399" s="2"/>
      <c r="K399" s="2"/>
    </row>
    <row r="400" spans="1:11" ht="76.5" x14ac:dyDescent="0.25">
      <c r="A400" s="22">
        <v>43419</v>
      </c>
      <c r="B400" s="58" t="s">
        <v>1017</v>
      </c>
      <c r="C400" s="58" t="s">
        <v>1021</v>
      </c>
      <c r="D400" s="39" t="s">
        <v>16</v>
      </c>
      <c r="E400" s="39" t="s">
        <v>258</v>
      </c>
      <c r="F400" s="39"/>
      <c r="G400" s="50">
        <v>6000</v>
      </c>
      <c r="H400" s="3" t="s">
        <v>1022</v>
      </c>
      <c r="I400" s="39"/>
      <c r="J400" s="2"/>
      <c r="K400" s="2"/>
    </row>
    <row r="401" spans="1:11" ht="38.25" x14ac:dyDescent="0.25">
      <c r="A401" s="22">
        <v>43419</v>
      </c>
      <c r="B401" s="58" t="s">
        <v>121</v>
      </c>
      <c r="C401" s="58" t="s">
        <v>1023</v>
      </c>
      <c r="D401" s="39" t="s">
        <v>245</v>
      </c>
      <c r="E401" s="39" t="s">
        <v>17</v>
      </c>
      <c r="F401" s="39"/>
      <c r="G401" s="39"/>
      <c r="H401" s="1"/>
      <c r="I401" s="39"/>
      <c r="J401" s="2"/>
      <c r="K401" s="2"/>
    </row>
    <row r="402" spans="1:11" ht="38.25" x14ac:dyDescent="0.25">
      <c r="A402" s="22">
        <v>43419</v>
      </c>
      <c r="B402" s="58" t="s">
        <v>121</v>
      </c>
      <c r="C402" s="58" t="s">
        <v>1024</v>
      </c>
      <c r="D402" s="39" t="s">
        <v>47</v>
      </c>
      <c r="E402" s="39" t="s">
        <v>17</v>
      </c>
      <c r="F402" s="39"/>
      <c r="G402" s="39"/>
      <c r="H402" s="1"/>
      <c r="I402" s="39"/>
      <c r="J402" s="2"/>
      <c r="K402" s="2"/>
    </row>
    <row r="403" spans="1:11" ht="25.5" x14ac:dyDescent="0.25">
      <c r="A403" s="22">
        <v>43420</v>
      </c>
      <c r="B403" s="58" t="s">
        <v>1025</v>
      </c>
      <c r="C403" s="58" t="s">
        <v>1026</v>
      </c>
      <c r="D403" s="39" t="s">
        <v>286</v>
      </c>
      <c r="E403" s="39" t="s">
        <v>12</v>
      </c>
      <c r="F403" s="39"/>
      <c r="G403" s="39"/>
      <c r="H403" s="1"/>
      <c r="I403" s="39"/>
      <c r="J403" s="2"/>
      <c r="K403" s="2"/>
    </row>
    <row r="404" spans="1:11" ht="38.25" x14ac:dyDescent="0.25">
      <c r="A404" s="22">
        <v>43421</v>
      </c>
      <c r="B404" s="58" t="s">
        <v>1027</v>
      </c>
      <c r="C404" s="58" t="s">
        <v>1028</v>
      </c>
      <c r="D404" s="39" t="s">
        <v>179</v>
      </c>
      <c r="E404" s="39" t="s">
        <v>12</v>
      </c>
      <c r="F404" s="39"/>
      <c r="G404" s="39"/>
      <c r="H404" s="1"/>
      <c r="I404" s="39"/>
      <c r="J404" s="5"/>
      <c r="K404" s="5"/>
    </row>
    <row r="405" spans="1:11" ht="127.5" x14ac:dyDescent="0.25">
      <c r="A405" s="22">
        <v>43424</v>
      </c>
      <c r="B405" s="58" t="s">
        <v>1029</v>
      </c>
      <c r="C405" s="58" t="s">
        <v>1030</v>
      </c>
      <c r="D405" s="39" t="s">
        <v>286</v>
      </c>
      <c r="E405" s="39" t="s">
        <v>258</v>
      </c>
      <c r="F405" s="39"/>
      <c r="G405" s="39"/>
      <c r="H405" s="18" t="s">
        <v>1031</v>
      </c>
      <c r="I405" s="39"/>
      <c r="J405" s="2"/>
      <c r="K405" s="2"/>
    </row>
    <row r="406" spans="1:11" s="31" customFormat="1" ht="89.25" x14ac:dyDescent="0.25">
      <c r="A406" s="32">
        <v>43435</v>
      </c>
      <c r="B406" s="66" t="str">
        <f>HYPERLINK("https://www.afar.org/","American Federation for Aging Research")</f>
        <v>American Federation for Aging Research</v>
      </c>
      <c r="C406" s="66" t="str">
        <f>HYPERLINK("https://www.afar.org/research/funding/afar-research-grants/","Glenn Foundation for Medical Research and AFAR Grants for Junior Faculty")</f>
        <v>Glenn Foundation for Medical Research and AFAR Grants for Junior Faculty</v>
      </c>
      <c r="D406" s="45" t="s">
        <v>1032</v>
      </c>
      <c r="E406" s="45" t="s">
        <v>17</v>
      </c>
      <c r="F406" s="45" t="s">
        <v>1033</v>
      </c>
      <c r="G406" s="52" t="s">
        <v>1034</v>
      </c>
      <c r="H406" s="35" t="s">
        <v>1035</v>
      </c>
      <c r="I406" s="45"/>
      <c r="J406" s="34"/>
      <c r="K406" s="34"/>
    </row>
    <row r="407" spans="1:11" ht="127.5" x14ac:dyDescent="0.25">
      <c r="A407" s="22">
        <v>43439</v>
      </c>
      <c r="B407" s="58" t="str">
        <f>HYPERLINK("http://www.neh.gov","National Endowment for the Humanities")</f>
        <v>National Endowment for the Humanities</v>
      </c>
      <c r="C407" s="58" t="s">
        <v>1036</v>
      </c>
      <c r="D407" s="39" t="s">
        <v>253</v>
      </c>
      <c r="E407" s="39" t="s">
        <v>258</v>
      </c>
      <c r="F407" s="39"/>
      <c r="G407" s="39"/>
      <c r="H407" s="3" t="s">
        <v>1037</v>
      </c>
      <c r="I407" s="39"/>
      <c r="J407" s="2"/>
      <c r="K407" s="2"/>
    </row>
    <row r="408" spans="1:11" ht="25.5" x14ac:dyDescent="0.25">
      <c r="A408" s="22">
        <v>43449</v>
      </c>
      <c r="B408" s="58" t="s">
        <v>1038</v>
      </c>
      <c r="C408" s="58" t="s">
        <v>1039</v>
      </c>
      <c r="D408" s="39" t="s">
        <v>286</v>
      </c>
      <c r="E408" s="39" t="s">
        <v>258</v>
      </c>
      <c r="F408" s="39"/>
      <c r="G408" s="39"/>
      <c r="H408" s="1"/>
      <c r="I408" s="39"/>
      <c r="J408" s="2"/>
      <c r="K408" s="2"/>
    </row>
    <row r="409" spans="1:11" ht="229.5" x14ac:dyDescent="0.25">
      <c r="A409" s="22">
        <v>43465</v>
      </c>
      <c r="B409" s="58" t="s">
        <v>218</v>
      </c>
      <c r="C409" s="58" t="str">
        <f>HYPERLINK("https://smlr.rutgers.edu/content/fellowships-professorships","Beyster Postdoctoral Fellowship")</f>
        <v>Beyster Postdoctoral Fellowship</v>
      </c>
      <c r="D409" s="39" t="s">
        <v>111</v>
      </c>
      <c r="E409" s="39" t="s">
        <v>73</v>
      </c>
      <c r="F409" s="39" t="s">
        <v>92</v>
      </c>
      <c r="G409" s="50">
        <v>25000</v>
      </c>
      <c r="H409" s="3" t="s">
        <v>1040</v>
      </c>
      <c r="I409" s="39" t="s">
        <v>45</v>
      </c>
      <c r="J409" s="2"/>
      <c r="K409" s="2"/>
    </row>
    <row r="410" spans="1:11" ht="127.5" x14ac:dyDescent="0.25">
      <c r="A410" s="22">
        <v>43467</v>
      </c>
      <c r="B410" s="58" t="str">
        <f t="shared" ref="B410:B411" si="10">HYPERLINK("http://artomi.org/","Art Omi")</f>
        <v>Art Omi</v>
      </c>
      <c r="C410" s="58" t="str">
        <f>HYPERLINK("http://45.55.141.4/residencies/art-omi-dance","Art Omi: Dance Residency")</f>
        <v>Art Omi: Dance Residency</v>
      </c>
      <c r="D410" s="39" t="s">
        <v>1041</v>
      </c>
      <c r="E410" s="39" t="s">
        <v>21</v>
      </c>
      <c r="F410" s="39"/>
      <c r="G410" s="39" t="s">
        <v>1042</v>
      </c>
      <c r="H410" s="3" t="s">
        <v>1043</v>
      </c>
      <c r="I410" s="39"/>
      <c r="J410" s="2"/>
      <c r="K410" s="2"/>
    </row>
    <row r="411" spans="1:11" ht="114.75" x14ac:dyDescent="0.25">
      <c r="A411" s="22">
        <v>43467</v>
      </c>
      <c r="B411" s="58" t="str">
        <f t="shared" si="10"/>
        <v>Art Omi</v>
      </c>
      <c r="C411" s="58" t="str">
        <f>HYPERLINK("http://45.55.141.4/residencies/art-omi-music","Art Omi: Music Residency")</f>
        <v>Art Omi: Music Residency</v>
      </c>
      <c r="D411" s="39" t="s">
        <v>333</v>
      </c>
      <c r="E411" s="39" t="s">
        <v>21</v>
      </c>
      <c r="F411" s="39"/>
      <c r="G411" s="39" t="s">
        <v>1042</v>
      </c>
      <c r="H411" s="3" t="s">
        <v>1044</v>
      </c>
      <c r="I411" s="39"/>
      <c r="J411" s="2"/>
      <c r="K411" s="2"/>
    </row>
    <row r="412" spans="1:11" ht="51" x14ac:dyDescent="0.25">
      <c r="A412" s="22">
        <v>43473</v>
      </c>
      <c r="B412" s="58" t="s">
        <v>1045</v>
      </c>
      <c r="C412" s="58" t="s">
        <v>763</v>
      </c>
      <c r="D412" s="39" t="s">
        <v>11</v>
      </c>
      <c r="E412" s="39" t="s">
        <v>21</v>
      </c>
      <c r="F412" s="39"/>
      <c r="G412" s="39" t="s">
        <v>1046</v>
      </c>
      <c r="H412" s="3" t="s">
        <v>1047</v>
      </c>
      <c r="I412" s="39"/>
      <c r="J412" s="2"/>
      <c r="K412" s="2"/>
    </row>
    <row r="413" spans="1:11" s="31" customFormat="1" ht="25.5" x14ac:dyDescent="0.25">
      <c r="A413" s="32">
        <v>43480</v>
      </c>
      <c r="B413" s="66" t="str">
        <f>HYPERLINK("http://www.americanantiquarian.org/","American Antiquarian Society")</f>
        <v>American Antiquarian Society</v>
      </c>
      <c r="C413" s="66" t="str">
        <f>HYPERLINK("http://www.americanantiquarian.org/longterm.htm","AAS-National Endowment for the Humanities Long-Term Fellowships")</f>
        <v>AAS-National Endowment for the Humanities Long-Term Fellowships</v>
      </c>
      <c r="D413" s="45" t="s">
        <v>1048</v>
      </c>
      <c r="E413" s="45" t="s">
        <v>73</v>
      </c>
      <c r="F413" s="45"/>
      <c r="G413" s="45" t="s">
        <v>1049</v>
      </c>
      <c r="H413" s="35" t="s">
        <v>1050</v>
      </c>
      <c r="I413" s="45"/>
      <c r="J413" s="34"/>
      <c r="K413" s="34"/>
    </row>
    <row r="414" spans="1:11" ht="102" x14ac:dyDescent="0.25">
      <c r="A414" s="22">
        <v>43480</v>
      </c>
      <c r="B414" s="58" t="s">
        <v>1051</v>
      </c>
      <c r="C414" s="58" t="s">
        <v>1052</v>
      </c>
      <c r="D414" s="39" t="s">
        <v>11</v>
      </c>
      <c r="E414" s="39" t="s">
        <v>21</v>
      </c>
      <c r="F414" s="39"/>
      <c r="G414" s="39" t="s">
        <v>1053</v>
      </c>
      <c r="H414" s="3" t="s">
        <v>1054</v>
      </c>
      <c r="I414" s="39"/>
      <c r="J414" s="2"/>
      <c r="K414" s="2"/>
    </row>
    <row r="415" spans="1:11" ht="165.75" x14ac:dyDescent="0.25">
      <c r="A415" s="22">
        <v>43480</v>
      </c>
      <c r="B415" s="58" t="s">
        <v>1051</v>
      </c>
      <c r="C415" s="58" t="str">
        <f>HYPERLINK("http://www.winterthur.org/?p=1311","Maker-Creator Fellowship")</f>
        <v>Maker-Creator Fellowship</v>
      </c>
      <c r="D415" s="39" t="s">
        <v>286</v>
      </c>
      <c r="E415" s="39" t="s">
        <v>21</v>
      </c>
      <c r="F415" s="39"/>
      <c r="G415" s="39" t="s">
        <v>1053</v>
      </c>
      <c r="H415" s="3" t="s">
        <v>1055</v>
      </c>
      <c r="I415" s="39"/>
      <c r="J415" s="2"/>
      <c r="K415" s="2"/>
    </row>
    <row r="416" spans="1:11" s="31" customFormat="1" ht="89.25" x14ac:dyDescent="0.25">
      <c r="A416" s="32">
        <v>43480</v>
      </c>
      <c r="B416" s="66" t="str">
        <f>HYPERLINK("http://www.cattell.duke.edu/","James McKeen Cattell Fund")</f>
        <v>James McKeen Cattell Fund</v>
      </c>
      <c r="C416" s="66" t="str">
        <f>HYPERLINK("http://www.cattell.duke.edu/","Fellowships")</f>
        <v>Fellowships</v>
      </c>
      <c r="D416" s="45" t="s">
        <v>1056</v>
      </c>
      <c r="E416" s="45" t="s">
        <v>465</v>
      </c>
      <c r="F416" s="45"/>
      <c r="G416" s="52"/>
      <c r="H416" s="33" t="s">
        <v>1057</v>
      </c>
      <c r="I416" s="46"/>
      <c r="J416" s="34"/>
      <c r="K416" s="34"/>
    </row>
    <row r="417" spans="1:11" s="31" customFormat="1" ht="153" x14ac:dyDescent="0.25">
      <c r="A417" s="32">
        <v>43496</v>
      </c>
      <c r="B417" s="66" t="s">
        <v>1058</v>
      </c>
      <c r="C417" s="66" t="s">
        <v>1059</v>
      </c>
      <c r="D417" s="45" t="s">
        <v>16</v>
      </c>
      <c r="E417" s="45" t="s">
        <v>17</v>
      </c>
      <c r="F417" s="43"/>
      <c r="G417" s="45" t="s">
        <v>620</v>
      </c>
      <c r="H417" s="35" t="s">
        <v>1060</v>
      </c>
      <c r="I417" s="43">
        <v>43059</v>
      </c>
      <c r="J417" s="34"/>
      <c r="K417" s="34"/>
    </row>
    <row r="418" spans="1:11" ht="267.75" x14ac:dyDescent="0.25">
      <c r="A418" s="25" t="s">
        <v>1061</v>
      </c>
      <c r="B418" s="58" t="str">
        <f>HYPERLINK("https://www.nsf.gov/","National Science Foundation")</f>
        <v>National Science Foundation</v>
      </c>
      <c r="C418" s="58" t="str">
        <f>HYPERLINK("https://www.nsf.gov/funding/pgm_summ.jsp?pims_id=505027","Cultivating Cultures for Ethical STEM")</f>
        <v>Cultivating Cultures for Ethical STEM</v>
      </c>
      <c r="D418" s="39" t="s">
        <v>19</v>
      </c>
      <c r="E418" s="39" t="s">
        <v>17</v>
      </c>
      <c r="F418" s="39"/>
      <c r="G418" s="39"/>
      <c r="H418" s="3" t="s">
        <v>1062</v>
      </c>
      <c r="I418" s="39"/>
      <c r="J418" s="2"/>
      <c r="K418" s="2"/>
    </row>
    <row r="419" spans="1:11" ht="51" x14ac:dyDescent="0.25">
      <c r="A419" s="27" t="s">
        <v>1063</v>
      </c>
      <c r="B419" s="67" t="s">
        <v>1064</v>
      </c>
      <c r="C419" s="67" t="s">
        <v>1065</v>
      </c>
      <c r="D419" s="47" t="s">
        <v>408</v>
      </c>
      <c r="E419" s="47" t="s">
        <v>17</v>
      </c>
      <c r="F419" s="47"/>
      <c r="G419" s="56" t="s">
        <v>1066</v>
      </c>
      <c r="H419" s="21" t="s">
        <v>1067</v>
      </c>
      <c r="I419" s="47"/>
      <c r="J419" s="9"/>
      <c r="K419" s="9"/>
    </row>
    <row r="420" spans="1:11" ht="127.5" x14ac:dyDescent="0.25">
      <c r="A420" s="25" t="s">
        <v>1068</v>
      </c>
      <c r="B420" s="58" t="s">
        <v>1069</v>
      </c>
      <c r="C420" s="58" t="s">
        <v>1070</v>
      </c>
      <c r="D420" s="39" t="s">
        <v>16</v>
      </c>
      <c r="E420" s="39" t="s">
        <v>150</v>
      </c>
      <c r="F420" s="39"/>
      <c r="G420" s="50">
        <v>40000</v>
      </c>
      <c r="H420" s="3" t="s">
        <v>1071</v>
      </c>
      <c r="I420" s="39"/>
      <c r="J420" s="2"/>
      <c r="K420" s="2"/>
    </row>
    <row r="421" spans="1:11" ht="114.75" x14ac:dyDescent="0.25">
      <c r="A421" s="25" t="s">
        <v>1068</v>
      </c>
      <c r="B421" s="58" t="str">
        <f>HYPERLINK("http://www.teaglefoundation.org/Grants-Initiatives/How-We-Grant","Teagle Foundation")</f>
        <v>Teagle Foundation</v>
      </c>
      <c r="C421" s="59" t="str">
        <f>HYPERLINK("http://www.teaglefoundation.org/Grants-Initiatives/How-We-Grant","Grants")</f>
        <v>Grants</v>
      </c>
      <c r="D421" s="39" t="s">
        <v>16</v>
      </c>
      <c r="E421" s="39" t="s">
        <v>549</v>
      </c>
      <c r="F421" s="39"/>
      <c r="G421" s="39" t="s">
        <v>624</v>
      </c>
      <c r="H421" s="3" t="s">
        <v>1072</v>
      </c>
      <c r="I421" s="39"/>
      <c r="J421" s="2"/>
      <c r="K421" s="2"/>
    </row>
    <row r="422" spans="1:11" ht="165.75" x14ac:dyDescent="0.25">
      <c r="A422" s="25" t="s">
        <v>1073</v>
      </c>
      <c r="B422" s="58" t="s">
        <v>1074</v>
      </c>
      <c r="C422" s="68" t="str">
        <f>HYPERLINK("https://www.nesare.org/Grants/Get-a-Grant/Research-and-Education-Grant","Sustainable Agriculture Research &amp; Education")</f>
        <v>Sustainable Agriculture Research &amp; Education</v>
      </c>
      <c r="D422" s="39" t="s">
        <v>1075</v>
      </c>
      <c r="E422" s="39" t="s">
        <v>17</v>
      </c>
      <c r="F422" s="39"/>
      <c r="G422" s="39"/>
      <c r="H422" s="3" t="s">
        <v>1076</v>
      </c>
      <c r="I422" s="39"/>
      <c r="J422" s="2"/>
      <c r="K422" s="2"/>
    </row>
    <row r="423" spans="1:11" ht="76.5" x14ac:dyDescent="0.25">
      <c r="A423" s="22" t="s">
        <v>1077</v>
      </c>
      <c r="B423" s="58" t="str">
        <f>HYPERLINK("http://harriman.columbia.edu/","Harriman Center at Columbia University")</f>
        <v>Harriman Center at Columbia University</v>
      </c>
      <c r="C423" s="58" t="str">
        <f>HYPERLINK("http://harriman.columbia.edu/content/faculty-research-support","Faculty Research Support")</f>
        <v>Faculty Research Support</v>
      </c>
      <c r="D423" s="39" t="s">
        <v>1078</v>
      </c>
      <c r="E423" s="39" t="s">
        <v>17</v>
      </c>
      <c r="F423" s="40"/>
      <c r="G423" s="40"/>
      <c r="H423" s="7" t="s">
        <v>1079</v>
      </c>
      <c r="I423" s="39" t="s">
        <v>494</v>
      </c>
      <c r="J423" s="2"/>
      <c r="K423" s="2"/>
    </row>
    <row r="424" spans="1:11" ht="63.75" x14ac:dyDescent="0.25">
      <c r="A424" s="25" t="s">
        <v>1080</v>
      </c>
      <c r="B424" s="58" t="str">
        <f t="shared" ref="B424:B425" si="11">HYPERLINK("https://rsa.site-ym.com/","Renaissance Society of America")</f>
        <v>Renaissance Society of America</v>
      </c>
      <c r="C424" s="58" t="str">
        <f>HYPERLINK("https://rsa.site-ym.com/?GrantRSABodleian","The RSA–Bodleian Library Research Fellowship")</f>
        <v>The RSA–Bodleian Library Research Fellowship</v>
      </c>
      <c r="D424" s="39" t="s">
        <v>11</v>
      </c>
      <c r="E424" s="39" t="s">
        <v>21</v>
      </c>
      <c r="F424" s="39"/>
      <c r="G424" s="50">
        <v>4000</v>
      </c>
      <c r="H424" s="3" t="s">
        <v>1081</v>
      </c>
      <c r="I424" s="39"/>
      <c r="J424" s="2"/>
      <c r="K424" s="2"/>
    </row>
    <row r="425" spans="1:11" ht="140.25" x14ac:dyDescent="0.25">
      <c r="A425" s="25" t="s">
        <v>1082</v>
      </c>
      <c r="B425" s="58" t="str">
        <f t="shared" si="11"/>
        <v>Renaissance Society of America</v>
      </c>
      <c r="C425" s="58" t="str">
        <f>HYPERLINK("https://rsa.site-ym.com/?GrantKressNYPL","The RSA–Kress New York Public Library Grant")</f>
        <v>The RSA–Kress New York Public Library Grant</v>
      </c>
      <c r="D425" s="39" t="s">
        <v>66</v>
      </c>
      <c r="E425" s="39" t="s">
        <v>21</v>
      </c>
      <c r="F425" s="39"/>
      <c r="G425" s="50">
        <v>3000</v>
      </c>
      <c r="H425" s="3" t="s">
        <v>1083</v>
      </c>
      <c r="I425" s="39"/>
      <c r="J425" s="2"/>
      <c r="K425" s="2"/>
    </row>
    <row r="426" spans="1:11" ht="89.25" x14ac:dyDescent="0.25">
      <c r="A426" s="22" t="s">
        <v>1082</v>
      </c>
      <c r="B426" s="58" t="s">
        <v>1084</v>
      </c>
      <c r="C426" s="58" t="s">
        <v>1085</v>
      </c>
      <c r="D426" s="39" t="s">
        <v>143</v>
      </c>
      <c r="E426" s="39" t="s">
        <v>394</v>
      </c>
      <c r="F426" s="39"/>
      <c r="G426" s="39"/>
      <c r="H426" s="3" t="s">
        <v>1086</v>
      </c>
      <c r="I426" s="39"/>
      <c r="J426" s="2"/>
      <c r="K426" s="2"/>
    </row>
    <row r="427" spans="1:11" ht="102" x14ac:dyDescent="0.25">
      <c r="A427" s="25" t="s">
        <v>1087</v>
      </c>
      <c r="B427" s="58" t="str">
        <f t="shared" ref="B427:B429" si="12">HYPERLINK("https://rsa.site-ym.com/","Renaissance Society of America")</f>
        <v>Renaissance Society of America</v>
      </c>
      <c r="C427" s="58" t="str">
        <f>HYPERLINK("https://rsa.site-ym.com/?GrantRSACRRS","The RSA–Centre for Reformation and Renaissance Studies (CRRS) Fellowship")</f>
        <v>The RSA–Centre for Reformation and Renaissance Studies (CRRS) Fellowship</v>
      </c>
      <c r="D427" s="39" t="s">
        <v>11</v>
      </c>
      <c r="E427" s="39" t="s">
        <v>21</v>
      </c>
      <c r="F427" s="39"/>
      <c r="G427" s="50">
        <v>3000</v>
      </c>
      <c r="H427" s="3" t="s">
        <v>1088</v>
      </c>
      <c r="I427" s="39"/>
      <c r="J427" s="2"/>
      <c r="K427" s="2"/>
    </row>
    <row r="428" spans="1:11" ht="63.75" x14ac:dyDescent="0.25">
      <c r="A428" s="25" t="s">
        <v>1087</v>
      </c>
      <c r="B428" s="58" t="str">
        <f t="shared" si="12"/>
        <v>Renaissance Society of America</v>
      </c>
      <c r="C428" s="58" t="str">
        <f>HYPERLINK("https://rsa.site-ym.com/?GrantRSANewberry","The RSA–Newberry Fellowship")</f>
        <v>The RSA–Newberry Fellowship</v>
      </c>
      <c r="D428" s="39" t="s">
        <v>11</v>
      </c>
      <c r="E428" s="39" t="s">
        <v>21</v>
      </c>
      <c r="F428" s="39"/>
      <c r="G428" s="50">
        <v>3000</v>
      </c>
      <c r="H428" s="3" t="s">
        <v>1089</v>
      </c>
      <c r="I428" s="39"/>
      <c r="J428" s="2"/>
      <c r="K428" s="2"/>
    </row>
    <row r="429" spans="1:11" ht="76.5" x14ac:dyDescent="0.25">
      <c r="A429" s="25" t="s">
        <v>1087</v>
      </c>
      <c r="B429" s="58" t="str">
        <f t="shared" si="12"/>
        <v>Renaissance Society of America</v>
      </c>
      <c r="C429" s="58" t="str">
        <f>HYPERLINK("https://rsa.site-ym.com/?GrantRSAHuntington","The RSA–Huntington Fellowship")</f>
        <v>The RSA–Huntington Fellowship</v>
      </c>
      <c r="D429" s="39" t="s">
        <v>11</v>
      </c>
      <c r="E429" s="39" t="s">
        <v>21</v>
      </c>
      <c r="F429" s="39"/>
      <c r="G429" s="50">
        <v>3000</v>
      </c>
      <c r="H429" s="3" t="s">
        <v>1090</v>
      </c>
      <c r="I429" s="39"/>
      <c r="J429" s="2"/>
      <c r="K429" s="2"/>
    </row>
    <row r="430" spans="1:11" ht="25.5" x14ac:dyDescent="0.25">
      <c r="A430" s="22" t="s">
        <v>1082</v>
      </c>
      <c r="B430" s="58" t="s">
        <v>1091</v>
      </c>
      <c r="C430" s="58" t="s">
        <v>1092</v>
      </c>
      <c r="D430" s="39" t="s">
        <v>11</v>
      </c>
      <c r="E430" s="39" t="s">
        <v>258</v>
      </c>
      <c r="F430" s="39"/>
      <c r="G430" s="39"/>
      <c r="H430" s="1"/>
      <c r="I430" s="39"/>
      <c r="J430" s="2"/>
      <c r="K430" s="2"/>
    </row>
    <row r="431" spans="1:11" ht="25.5" x14ac:dyDescent="0.25">
      <c r="A431" s="22" t="s">
        <v>1082</v>
      </c>
      <c r="B431" s="58" t="s">
        <v>195</v>
      </c>
      <c r="C431" s="58" t="s">
        <v>877</v>
      </c>
      <c r="D431" s="39" t="s">
        <v>11</v>
      </c>
      <c r="E431" s="39" t="s">
        <v>12</v>
      </c>
      <c r="F431" s="39"/>
      <c r="G431" s="39"/>
      <c r="H431" s="1"/>
      <c r="I431" s="39"/>
      <c r="J431" s="2"/>
      <c r="K431" s="2"/>
    </row>
    <row r="432" spans="1:11" ht="25.5" x14ac:dyDescent="0.25">
      <c r="A432" s="22" t="s">
        <v>1082</v>
      </c>
      <c r="B432" s="58" t="s">
        <v>1093</v>
      </c>
      <c r="C432" s="58" t="s">
        <v>1094</v>
      </c>
      <c r="D432" s="39" t="s">
        <v>11</v>
      </c>
      <c r="E432" s="39" t="s">
        <v>258</v>
      </c>
      <c r="F432" s="39"/>
      <c r="G432" s="39"/>
      <c r="H432" s="1"/>
      <c r="I432" s="39"/>
      <c r="J432" s="2"/>
      <c r="K432" s="2"/>
    </row>
    <row r="433" spans="1:11" ht="76.5" x14ac:dyDescent="0.25">
      <c r="A433" s="22" t="s">
        <v>1082</v>
      </c>
      <c r="B433" s="58" t="s">
        <v>1095</v>
      </c>
      <c r="C433" s="58" t="s">
        <v>577</v>
      </c>
      <c r="D433" s="39" t="s">
        <v>11</v>
      </c>
      <c r="E433" s="39" t="s">
        <v>394</v>
      </c>
      <c r="F433" s="39"/>
      <c r="G433" s="39"/>
      <c r="H433" s="3" t="s">
        <v>1096</v>
      </c>
      <c r="I433" s="39"/>
      <c r="J433" s="2"/>
      <c r="K433" s="2"/>
    </row>
    <row r="434" spans="1:11" ht="25.5" x14ac:dyDescent="0.25">
      <c r="A434" s="22" t="s">
        <v>1082</v>
      </c>
      <c r="B434" s="58" t="s">
        <v>1097</v>
      </c>
      <c r="C434" s="58" t="s">
        <v>1098</v>
      </c>
      <c r="D434" s="39" t="s">
        <v>11</v>
      </c>
      <c r="E434" s="39" t="s">
        <v>258</v>
      </c>
      <c r="F434" s="39"/>
      <c r="G434" s="39"/>
      <c r="H434" s="1" t="s">
        <v>1099</v>
      </c>
      <c r="I434" s="39"/>
      <c r="J434" s="2"/>
      <c r="K434" s="2"/>
    </row>
    <row r="435" spans="1:11" ht="127.5" x14ac:dyDescent="0.25">
      <c r="A435" s="22" t="s">
        <v>1082</v>
      </c>
      <c r="B435" s="58" t="str">
        <f>HYPERLINK("http://europe.columbia.edu/","Columbia European Institute")</f>
        <v>Columbia European Institute</v>
      </c>
      <c r="C435" s="58" t="str">
        <f>HYPERLINK("http://europe.columbia.edu/funding/faculty-research-grants/","EI Faculty Grants")</f>
        <v>EI Faculty Grants</v>
      </c>
      <c r="D435" s="39" t="s">
        <v>1100</v>
      </c>
      <c r="E435" s="39" t="s">
        <v>1101</v>
      </c>
      <c r="F435" s="40"/>
      <c r="G435" s="40"/>
      <c r="H435" s="7" t="s">
        <v>1102</v>
      </c>
      <c r="I435" s="39" t="s">
        <v>494</v>
      </c>
      <c r="J435" s="2"/>
      <c r="K435" s="2"/>
    </row>
    <row r="436" spans="1:11" ht="63.75" x14ac:dyDescent="0.25">
      <c r="A436" s="25" t="s">
        <v>1087</v>
      </c>
      <c r="B436" s="58" t="s">
        <v>1103</v>
      </c>
      <c r="C436" s="58" t="str">
        <f>HYPERLINK("http://aabbfoundation.org/grant-guidelines","Production Grants")</f>
        <v>Production Grants</v>
      </c>
      <c r="D436" s="39" t="s">
        <v>286</v>
      </c>
      <c r="E436" s="39" t="s">
        <v>258</v>
      </c>
      <c r="F436" s="39"/>
      <c r="G436" s="39" t="s">
        <v>1104</v>
      </c>
      <c r="H436" s="3" t="s">
        <v>1105</v>
      </c>
      <c r="I436" s="39" t="s">
        <v>494</v>
      </c>
      <c r="J436" s="2"/>
      <c r="K436" s="2"/>
    </row>
    <row r="437" spans="1:11" ht="25.5" x14ac:dyDescent="0.25">
      <c r="A437" s="22" t="s">
        <v>1082</v>
      </c>
      <c r="B437" s="58" t="s">
        <v>1106</v>
      </c>
      <c r="C437" s="58" t="s">
        <v>1107</v>
      </c>
      <c r="D437" s="39" t="s">
        <v>286</v>
      </c>
      <c r="E437" s="39" t="s">
        <v>1108</v>
      </c>
      <c r="F437" s="39"/>
      <c r="G437" s="39"/>
      <c r="H437" s="1"/>
      <c r="I437" s="39"/>
      <c r="J437" s="2"/>
      <c r="K437" s="2"/>
    </row>
    <row r="438" spans="1:11" ht="140.25" x14ac:dyDescent="0.25">
      <c r="A438" s="22" t="s">
        <v>1082</v>
      </c>
      <c r="B438" s="58" t="s">
        <v>1109</v>
      </c>
      <c r="C438" s="58" t="s">
        <v>584</v>
      </c>
      <c r="D438" s="39" t="s">
        <v>1110</v>
      </c>
      <c r="E438" s="39" t="s">
        <v>258</v>
      </c>
      <c r="F438" s="39"/>
      <c r="G438" s="39" t="s">
        <v>777</v>
      </c>
      <c r="H438" s="3" t="s">
        <v>1111</v>
      </c>
      <c r="I438" s="39"/>
      <c r="J438" s="2"/>
      <c r="K438" s="2"/>
    </row>
    <row r="439" spans="1:11" ht="89.25" x14ac:dyDescent="0.25">
      <c r="A439" s="28" t="s">
        <v>1087</v>
      </c>
      <c r="B439" s="61" t="str">
        <f>HYPERLINK("http://www.cornelldouglas.org/","Cornell Douglas Foundation")</f>
        <v>Cornell Douglas Foundation</v>
      </c>
      <c r="C439" s="61" t="str">
        <f>HYPERLINK("http://www.cornelldouglas.org/apply","Grants")</f>
        <v>Grants</v>
      </c>
      <c r="D439" s="41" t="s">
        <v>572</v>
      </c>
      <c r="E439" s="41" t="s">
        <v>573</v>
      </c>
      <c r="F439" s="41"/>
      <c r="G439" s="41" t="s">
        <v>1112</v>
      </c>
      <c r="H439" s="15" t="s">
        <v>1113</v>
      </c>
      <c r="I439" s="41"/>
      <c r="J439" s="5"/>
      <c r="K439" s="5"/>
    </row>
    <row r="440" spans="1:11" ht="63.75" x14ac:dyDescent="0.25">
      <c r="A440" s="25" t="s">
        <v>1082</v>
      </c>
      <c r="B440" s="58" t="str">
        <f>HYPERLINK("https://www.carnegie.org/grants/","Carnegie Corporation of New York")</f>
        <v>Carnegie Corporation of New York</v>
      </c>
      <c r="C440" s="58" t="str">
        <f>HYPERLINK("https://www.carnegie.org/grants/","Grants")</f>
        <v>Grants</v>
      </c>
      <c r="D440" s="39" t="s">
        <v>16</v>
      </c>
      <c r="E440" s="39" t="s">
        <v>1114</v>
      </c>
      <c r="F440" s="39"/>
      <c r="G440" s="39" t="s">
        <v>624</v>
      </c>
      <c r="H440" s="17" t="s">
        <v>1115</v>
      </c>
      <c r="I440" s="39" t="s">
        <v>1116</v>
      </c>
      <c r="J440" s="2"/>
      <c r="K440" s="2"/>
    </row>
    <row r="441" spans="1:11" s="31" customFormat="1" ht="140.25" x14ac:dyDescent="0.25">
      <c r="A441" s="36" t="s">
        <v>1082</v>
      </c>
      <c r="B441" s="66" t="str">
        <f>HYPERLINK("http://research.unc.edu/","University of North Carolina")</f>
        <v>University of North Carolina</v>
      </c>
      <c r="C441" s="66" t="str">
        <f>HYPERLINK("http://research.unc.edu/carolina-postdocs/","Carolina Minority Postdoctoral Scholars Program")</f>
        <v>Carolina Minority Postdoctoral Scholars Program</v>
      </c>
      <c r="D441" s="45" t="s">
        <v>16</v>
      </c>
      <c r="E441" s="45" t="s">
        <v>1117</v>
      </c>
      <c r="F441" s="45" t="s">
        <v>1118</v>
      </c>
      <c r="G441" s="52" t="s">
        <v>1119</v>
      </c>
      <c r="H441" s="33" t="s">
        <v>1120</v>
      </c>
      <c r="I441" s="45"/>
      <c r="J441" s="34"/>
      <c r="K441" s="34"/>
    </row>
    <row r="442" spans="1:11" ht="38.25" x14ac:dyDescent="0.25">
      <c r="A442" s="22" t="s">
        <v>1082</v>
      </c>
      <c r="B442" s="60" t="s">
        <v>1121</v>
      </c>
      <c r="C442" s="58" t="str">
        <f>HYPERLINK("http://www1.mville.edu/grants/GrantDescriptionPages/Earhart.htm","Fellowship Research Grants in Humanities &amp; Social Sciences")</f>
        <v>Fellowship Research Grants in Humanities &amp; Social Sciences</v>
      </c>
      <c r="D442" s="39" t="s">
        <v>16</v>
      </c>
      <c r="E442" s="39" t="s">
        <v>73</v>
      </c>
      <c r="F442" s="39"/>
      <c r="G442" s="39" t="s">
        <v>1122</v>
      </c>
      <c r="H442" s="3" t="s">
        <v>1123</v>
      </c>
      <c r="I442" s="39" t="s">
        <v>45</v>
      </c>
      <c r="J442" s="2"/>
      <c r="K442" s="2"/>
    </row>
    <row r="443" spans="1:11" ht="127.5" x14ac:dyDescent="0.25">
      <c r="A443" s="25" t="s">
        <v>1087</v>
      </c>
      <c r="B443" s="58" t="str">
        <f t="shared" ref="B443:B444" si="13">HYPERLINK("https://www.humboldt-foundation.de/web/home.html","Humboldt Foundation")</f>
        <v>Humboldt Foundation</v>
      </c>
      <c r="C443" s="58" t="str">
        <f>HYPERLINK("https://www.humboldt-foundation.de/web/humboldt-fellowship-postdoc.html","Humboldt Research Fellowship for Postdoctoral Researchers")</f>
        <v>Humboldt Research Fellowship for Postdoctoral Researchers</v>
      </c>
      <c r="D443" s="39" t="s">
        <v>16</v>
      </c>
      <c r="E443" s="39" t="s">
        <v>73</v>
      </c>
      <c r="F443" s="39" t="s">
        <v>1124</v>
      </c>
      <c r="G443" s="50"/>
      <c r="H443" s="3" t="s">
        <v>1125</v>
      </c>
      <c r="I443" s="39" t="s">
        <v>1126</v>
      </c>
      <c r="J443" s="5"/>
      <c r="K443" s="5"/>
    </row>
    <row r="444" spans="1:11" ht="178.5" x14ac:dyDescent="0.25">
      <c r="A444" s="25" t="s">
        <v>1087</v>
      </c>
      <c r="B444" s="58" t="str">
        <f t="shared" si="13"/>
        <v>Humboldt Foundation</v>
      </c>
      <c r="C444" s="58" t="str">
        <f>HYPERLINK("https://www.humboldt-foundation.de/web/humboldt-fellowship-experienced.html","Humboldt Research Fellowship for Experienced Researchers")</f>
        <v>Humboldt Research Fellowship for Experienced Researchers</v>
      </c>
      <c r="D444" s="39" t="s">
        <v>16</v>
      </c>
      <c r="E444" s="39" t="s">
        <v>21</v>
      </c>
      <c r="F444" s="39" t="s">
        <v>1127</v>
      </c>
      <c r="G444" s="50"/>
      <c r="H444" s="3" t="s">
        <v>1128</v>
      </c>
      <c r="I444" s="39" t="s">
        <v>1116</v>
      </c>
      <c r="J444" s="5"/>
      <c r="K444" s="5"/>
    </row>
    <row r="445" spans="1:11" ht="153" x14ac:dyDescent="0.25">
      <c r="A445" s="22" t="s">
        <v>1082</v>
      </c>
      <c r="B445" s="58" t="s">
        <v>1129</v>
      </c>
      <c r="C445" s="58" t="s">
        <v>1130</v>
      </c>
      <c r="D445" s="39" t="s">
        <v>16</v>
      </c>
      <c r="E445" s="39" t="s">
        <v>1131</v>
      </c>
      <c r="F445" s="39" t="s">
        <v>92</v>
      </c>
      <c r="G445" s="39"/>
      <c r="H445" s="3" t="s">
        <v>1132</v>
      </c>
      <c r="I445" s="39"/>
      <c r="J445" s="5"/>
      <c r="K445" s="5"/>
    </row>
    <row r="446" spans="1:11" ht="102" x14ac:dyDescent="0.25">
      <c r="A446" s="22" t="s">
        <v>1082</v>
      </c>
      <c r="B446" s="58" t="s">
        <v>1133</v>
      </c>
      <c r="C446" s="58" t="s">
        <v>1134</v>
      </c>
      <c r="D446" s="39" t="s">
        <v>16</v>
      </c>
      <c r="E446" s="39" t="s">
        <v>258</v>
      </c>
      <c r="F446" s="39"/>
      <c r="G446" s="39"/>
      <c r="H446" s="3" t="s">
        <v>1135</v>
      </c>
      <c r="I446" s="39"/>
      <c r="J446" s="2"/>
      <c r="K446" s="2"/>
    </row>
    <row r="447" spans="1:11" x14ac:dyDescent="0.25">
      <c r="A447" s="22" t="s">
        <v>1082</v>
      </c>
      <c r="B447" s="58" t="s">
        <v>1136</v>
      </c>
      <c r="C447" s="58" t="s">
        <v>1137</v>
      </c>
      <c r="D447" s="39" t="s">
        <v>16</v>
      </c>
      <c r="E447" s="39" t="s">
        <v>258</v>
      </c>
      <c r="F447" s="39"/>
      <c r="G447" s="39"/>
      <c r="H447" s="1" t="s">
        <v>1099</v>
      </c>
      <c r="I447" s="39"/>
      <c r="J447" s="2"/>
      <c r="K447" s="2"/>
    </row>
    <row r="448" spans="1:11" ht="76.5" x14ac:dyDescent="0.25">
      <c r="A448" s="22" t="s">
        <v>1082</v>
      </c>
      <c r="B448" s="58" t="s">
        <v>1138</v>
      </c>
      <c r="C448" s="58" t="s">
        <v>1139</v>
      </c>
      <c r="D448" s="39" t="s">
        <v>16</v>
      </c>
      <c r="E448" s="39" t="s">
        <v>394</v>
      </c>
      <c r="F448" s="39"/>
      <c r="G448" s="39" t="s">
        <v>1140</v>
      </c>
      <c r="H448" s="3" t="s">
        <v>1141</v>
      </c>
      <c r="I448" s="39"/>
      <c r="J448" s="2"/>
      <c r="K448" s="2"/>
    </row>
    <row r="449" spans="1:11" ht="255" x14ac:dyDescent="0.25">
      <c r="A449" s="22" t="s">
        <v>1082</v>
      </c>
      <c r="B449" s="58" t="s">
        <v>1142</v>
      </c>
      <c r="C449" s="58" t="str">
        <f>HYPERLINK("http://taths.org.uk/about/awards-and-grants","Salaman Awards")</f>
        <v>Salaman Awards</v>
      </c>
      <c r="D449" s="39" t="s">
        <v>16</v>
      </c>
      <c r="E449" s="39" t="s">
        <v>17</v>
      </c>
      <c r="F449" s="40"/>
      <c r="G449" s="50" t="s">
        <v>559</v>
      </c>
      <c r="H449" s="3" t="s">
        <v>1143</v>
      </c>
      <c r="I449" s="39" t="s">
        <v>551</v>
      </c>
      <c r="J449" s="2"/>
      <c r="K449" s="2"/>
    </row>
    <row r="450" spans="1:11" ht="153" x14ac:dyDescent="0.25">
      <c r="A450" s="22" t="s">
        <v>1082</v>
      </c>
      <c r="B450" s="58" t="str">
        <f t="shared" ref="B450:C450" si="14">HYPERLINK("http://beta.global.columbia.edu/institutes-programs-initiatives/presidents-global-innovation-fund","President's Global Innovation Fund")</f>
        <v>President's Global Innovation Fund</v>
      </c>
      <c r="C450" s="58" t="str">
        <f t="shared" si="14"/>
        <v>President's Global Innovation Fund</v>
      </c>
      <c r="D450" s="39" t="s">
        <v>16</v>
      </c>
      <c r="E450" s="39" t="s">
        <v>1144</v>
      </c>
      <c r="F450" s="40"/>
      <c r="G450" s="40" t="s">
        <v>1145</v>
      </c>
      <c r="H450" s="14" t="s">
        <v>1146</v>
      </c>
      <c r="I450" s="39" t="s">
        <v>494</v>
      </c>
      <c r="J450" s="2"/>
      <c r="K450" s="2"/>
    </row>
    <row r="451" spans="1:11" ht="204" x14ac:dyDescent="0.25">
      <c r="A451" s="25" t="s">
        <v>1082</v>
      </c>
      <c r="B451" s="58" t="str">
        <f>HYPERLINK("http://thereedfoundation.org/landes/about.html","Reed Foundation")</f>
        <v>Reed Foundation</v>
      </c>
      <c r="C451" s="58" t="str">
        <f>HYPERLINK("http://thereedfoundation.org/landes/grants.html","Ruth Landes Memorial Research Fund")</f>
        <v>Ruth Landes Memorial Research Fund</v>
      </c>
      <c r="D451" s="39" t="s">
        <v>419</v>
      </c>
      <c r="E451" s="39" t="s">
        <v>17</v>
      </c>
      <c r="F451" s="39"/>
      <c r="G451" s="39" t="s">
        <v>1147</v>
      </c>
      <c r="H451" s="3" t="s">
        <v>1148</v>
      </c>
      <c r="I451" s="39"/>
      <c r="J451" s="2"/>
      <c r="K451" s="2"/>
    </row>
    <row r="452" spans="1:11" s="31" customFormat="1" ht="63.75" x14ac:dyDescent="0.25">
      <c r="A452" s="36" t="s">
        <v>1087</v>
      </c>
      <c r="B452" s="66" t="str">
        <f>HYPERLINK("http://www.amscan.org/fellowships-and-grants/fellowshipsgrants-to-study-in-scandinavia/","American-Scandinavian Foundation")</f>
        <v>American-Scandinavian Foundation</v>
      </c>
      <c r="C452" s="69" t="s">
        <v>1149</v>
      </c>
      <c r="D452" s="45" t="s">
        <v>1150</v>
      </c>
      <c r="E452" s="45" t="s">
        <v>1151</v>
      </c>
      <c r="F452" s="45"/>
      <c r="G452" s="45" t="s">
        <v>1152</v>
      </c>
      <c r="H452" s="37" t="s">
        <v>1153</v>
      </c>
      <c r="I452" s="45"/>
      <c r="J452" s="38"/>
      <c r="K452" s="38"/>
    </row>
    <row r="453" spans="1:11" ht="102" x14ac:dyDescent="0.25">
      <c r="A453" s="25" t="s">
        <v>1082</v>
      </c>
      <c r="B453" s="58" t="str">
        <f>HYPERLINK("http://dayan.org/visiting-scholars","Moshe Dayan Center for Middle Eastern and African Studies")</f>
        <v>Moshe Dayan Center for Middle Eastern and African Studies</v>
      </c>
      <c r="C453" s="58" t="str">
        <f>HYPERLINK("http://dayan.org/visiting-scholars","Visiting Scholars")</f>
        <v>Visiting Scholars</v>
      </c>
      <c r="D453" s="39" t="s">
        <v>76</v>
      </c>
      <c r="E453" s="39" t="s">
        <v>21</v>
      </c>
      <c r="F453" s="39"/>
      <c r="G453" s="39" t="s">
        <v>206</v>
      </c>
      <c r="H453" s="3" t="s">
        <v>1154</v>
      </c>
      <c r="I453" s="39"/>
      <c r="J453" s="2"/>
      <c r="K453" s="2"/>
    </row>
    <row r="454" spans="1:11" ht="165.75" x14ac:dyDescent="0.25">
      <c r="A454" s="22" t="s">
        <v>1082</v>
      </c>
      <c r="B454" s="58" t="s">
        <v>1155</v>
      </c>
      <c r="C454" s="58" t="s">
        <v>178</v>
      </c>
      <c r="D454" s="39" t="s">
        <v>1156</v>
      </c>
      <c r="E454" s="39" t="s">
        <v>17</v>
      </c>
      <c r="F454" s="39"/>
      <c r="G454" s="39"/>
      <c r="H454" s="3" t="s">
        <v>1157</v>
      </c>
      <c r="I454" s="39"/>
      <c r="J454" s="2"/>
      <c r="K454" s="2"/>
    </row>
    <row r="455" spans="1:11" s="31" customFormat="1" ht="76.5" x14ac:dyDescent="0.25">
      <c r="A455" s="36" t="s">
        <v>1087</v>
      </c>
      <c r="B455" s="66" t="str">
        <f>HYPERLINK("https://www.axa-research.org/en/landing/fundings","AXA")</f>
        <v>AXA</v>
      </c>
      <c r="C455" s="66" t="str">
        <f>HYPERLINK("https://www.axa-research.org/en/page/general-terms","AXA Research Fund")</f>
        <v>AXA Research Fund</v>
      </c>
      <c r="D455" s="45" t="s">
        <v>19</v>
      </c>
      <c r="E455" s="45" t="s">
        <v>120</v>
      </c>
      <c r="F455" s="45"/>
      <c r="G455" s="45"/>
      <c r="H455" s="35" t="s">
        <v>1158</v>
      </c>
      <c r="I455" s="45"/>
      <c r="J455" s="34"/>
      <c r="K455" s="34"/>
    </row>
    <row r="456" spans="1:11" ht="102" x14ac:dyDescent="0.25">
      <c r="A456" s="22" t="s">
        <v>1082</v>
      </c>
      <c r="B456" s="58" t="s">
        <v>354</v>
      </c>
      <c r="C456" s="58" t="s">
        <v>1139</v>
      </c>
      <c r="D456" s="39" t="s">
        <v>19</v>
      </c>
      <c r="E456" s="39" t="s">
        <v>543</v>
      </c>
      <c r="F456" s="39"/>
      <c r="G456" s="39"/>
      <c r="H456" s="3" t="s">
        <v>1159</v>
      </c>
      <c r="I456" s="39"/>
      <c r="J456" s="2"/>
      <c r="K456" s="2"/>
    </row>
    <row r="457" spans="1:11" ht="102" x14ac:dyDescent="0.25">
      <c r="A457" s="22" t="s">
        <v>1082</v>
      </c>
      <c r="B457" s="58" t="str">
        <f t="shared" ref="B457:B458" si="15">HYPERLINK("https://www.sfari.org/","Simons Foundation Autism Research Initiative")</f>
        <v>Simons Foundation Autism Research Initiative</v>
      </c>
      <c r="C457" s="58" t="str">
        <f>HYPERLINK("https://www.sfari.org/grant/explorer-awards-rfa/","SFARI Explorer Award")</f>
        <v>SFARI Explorer Award</v>
      </c>
      <c r="D457" s="39" t="s">
        <v>19</v>
      </c>
      <c r="E457" s="39" t="s">
        <v>17</v>
      </c>
      <c r="F457" s="39"/>
      <c r="G457" s="39" t="s">
        <v>151</v>
      </c>
      <c r="H457" s="3" t="s">
        <v>1160</v>
      </c>
      <c r="I457" s="39"/>
      <c r="J457" s="2"/>
      <c r="K457" s="2"/>
    </row>
    <row r="458" spans="1:11" ht="165.75" x14ac:dyDescent="0.25">
      <c r="A458" s="22" t="s">
        <v>1082</v>
      </c>
      <c r="B458" s="58" t="str">
        <f t="shared" si="15"/>
        <v>Simons Foundation Autism Research Initiative</v>
      </c>
      <c r="C458" s="58" t="str">
        <f>HYPERLINK("https://www.sfari.org/grant/explorer-awards-rfa/","Pilot and Research Awards")</f>
        <v>Pilot and Research Awards</v>
      </c>
      <c r="D458" s="39" t="s">
        <v>19</v>
      </c>
      <c r="E458" s="39" t="s">
        <v>17</v>
      </c>
      <c r="F458" s="39"/>
      <c r="G458" s="39" t="s">
        <v>1161</v>
      </c>
      <c r="H458" s="3" t="s">
        <v>1162</v>
      </c>
      <c r="I458" s="39"/>
      <c r="J458" s="2"/>
      <c r="K458" s="2"/>
    </row>
    <row r="459" spans="1:11" ht="38.25" x14ac:dyDescent="0.25">
      <c r="A459" s="22" t="s">
        <v>1082</v>
      </c>
      <c r="B459" s="58" t="s">
        <v>1163</v>
      </c>
      <c r="C459" s="58" t="s">
        <v>675</v>
      </c>
      <c r="D459" s="39" t="s">
        <v>90</v>
      </c>
      <c r="E459" s="39" t="s">
        <v>17</v>
      </c>
      <c r="F459" s="39"/>
      <c r="G459" s="39"/>
      <c r="H459" s="1"/>
      <c r="I459" s="39"/>
      <c r="J459" s="2"/>
      <c r="K459" s="2"/>
    </row>
    <row r="460" spans="1:11" ht="25.5" x14ac:dyDescent="0.25">
      <c r="A460" s="22" t="s">
        <v>1082</v>
      </c>
      <c r="B460" s="58" t="s">
        <v>756</v>
      </c>
      <c r="C460" s="58" t="s">
        <v>1164</v>
      </c>
      <c r="D460" s="39" t="s">
        <v>211</v>
      </c>
      <c r="E460" s="39"/>
      <c r="F460" s="39"/>
      <c r="G460" s="39"/>
      <c r="H460" s="1"/>
      <c r="I460" s="39"/>
      <c r="J460" s="2"/>
      <c r="K460" s="2"/>
    </row>
    <row r="461" spans="1:11" ht="38.25" x14ac:dyDescent="0.25">
      <c r="A461" s="22" t="s">
        <v>1082</v>
      </c>
      <c r="B461" s="58" t="s">
        <v>1165</v>
      </c>
      <c r="C461" s="58" t="s">
        <v>1166</v>
      </c>
      <c r="D461" s="39" t="s">
        <v>245</v>
      </c>
      <c r="E461" s="39" t="s">
        <v>236</v>
      </c>
      <c r="F461" s="39"/>
      <c r="G461" s="39"/>
      <c r="H461" s="1"/>
      <c r="I461" s="39"/>
      <c r="J461" s="2"/>
      <c r="K461" s="2"/>
    </row>
    <row r="462" spans="1:11" ht="76.5" x14ac:dyDescent="0.25">
      <c r="A462" s="22" t="s">
        <v>1082</v>
      </c>
      <c r="B462" s="58" t="s">
        <v>46</v>
      </c>
      <c r="C462" s="58" t="s">
        <v>1167</v>
      </c>
      <c r="D462" s="39" t="s">
        <v>47</v>
      </c>
      <c r="E462" s="39" t="s">
        <v>1168</v>
      </c>
      <c r="F462" s="39"/>
      <c r="G462" s="39" t="s">
        <v>1169</v>
      </c>
      <c r="H462" s="3" t="s">
        <v>1170</v>
      </c>
      <c r="I462" s="39"/>
      <c r="J462" s="2"/>
      <c r="K462" s="2"/>
    </row>
    <row r="463" spans="1:11" ht="192" x14ac:dyDescent="0.25">
      <c r="A463" s="22" t="s">
        <v>1082</v>
      </c>
      <c r="B463" s="58" t="s">
        <v>1171</v>
      </c>
      <c r="C463" s="58" t="s">
        <v>1172</v>
      </c>
      <c r="D463" s="39" t="s">
        <v>111</v>
      </c>
      <c r="E463" s="39" t="s">
        <v>17</v>
      </c>
      <c r="F463" s="39"/>
      <c r="G463" s="39"/>
      <c r="H463" s="6" t="s">
        <v>1173</v>
      </c>
      <c r="I463" s="39" t="s">
        <v>494</v>
      </c>
      <c r="J463" s="2"/>
      <c r="K463" s="2"/>
    </row>
    <row r="464" spans="1:11" ht="242.25" x14ac:dyDescent="0.25">
      <c r="A464" s="25" t="s">
        <v>1087</v>
      </c>
      <c r="B464" s="60" t="s">
        <v>1174</v>
      </c>
      <c r="C464" s="58" t="str">
        <f>HYPERLINK("https://www.searlefreedomtrust.org/application-guidelines/","Grants in Public Policy")</f>
        <v>Grants in Public Policy</v>
      </c>
      <c r="D464" s="39" t="s">
        <v>111</v>
      </c>
      <c r="E464" s="39" t="s">
        <v>17</v>
      </c>
      <c r="F464" s="39"/>
      <c r="G464" s="39"/>
      <c r="H464" s="3" t="s">
        <v>1175</v>
      </c>
      <c r="I464" s="40"/>
      <c r="J464" s="2"/>
      <c r="K464" s="2"/>
    </row>
    <row r="465" spans="1:11" ht="51" x14ac:dyDescent="0.25">
      <c r="A465" s="22" t="s">
        <v>1087</v>
      </c>
      <c r="B465" s="58" t="s">
        <v>1176</v>
      </c>
      <c r="C465" s="58" t="s">
        <v>1177</v>
      </c>
      <c r="D465" s="39" t="s">
        <v>328</v>
      </c>
      <c r="E465" s="39" t="s">
        <v>17</v>
      </c>
      <c r="F465" s="39"/>
      <c r="G465" s="50">
        <v>500</v>
      </c>
      <c r="H465" s="3" t="s">
        <v>1178</v>
      </c>
      <c r="I465" s="39" t="s">
        <v>494</v>
      </c>
      <c r="J465" s="2"/>
      <c r="K465" s="2"/>
    </row>
    <row r="466" spans="1:11" ht="38.25" x14ac:dyDescent="0.25">
      <c r="A466" s="22" t="s">
        <v>1179</v>
      </c>
      <c r="B466" s="58" t="s">
        <v>1180</v>
      </c>
      <c r="C466" s="58" t="s">
        <v>1181</v>
      </c>
      <c r="D466" s="39" t="s">
        <v>127</v>
      </c>
      <c r="E466" s="39"/>
      <c r="F466" s="39"/>
      <c r="G466" s="39"/>
      <c r="H466" s="3"/>
      <c r="I466" s="39"/>
      <c r="J466" s="2"/>
      <c r="K466" s="2"/>
    </row>
    <row r="467" spans="1:11" ht="38.25" x14ac:dyDescent="0.25">
      <c r="A467" s="22" t="s">
        <v>1179</v>
      </c>
      <c r="B467" s="58" t="s">
        <v>1180</v>
      </c>
      <c r="C467" s="58" t="s">
        <v>1182</v>
      </c>
      <c r="D467" s="39" t="s">
        <v>127</v>
      </c>
      <c r="E467" s="39"/>
      <c r="F467" s="39"/>
      <c r="G467" s="39"/>
      <c r="H467" s="1"/>
      <c r="I467" s="39"/>
      <c r="J467" s="2"/>
      <c r="K467" s="2"/>
    </row>
    <row r="468" spans="1:11" ht="191.25" x14ac:dyDescent="0.25">
      <c r="A468" s="25" t="s">
        <v>1183</v>
      </c>
      <c r="B468" s="58" t="str">
        <f t="shared" ref="B468:B469" si="16">HYPERLINK("https://www.nsf.gov/","National Science Foundation")</f>
        <v>National Science Foundation</v>
      </c>
      <c r="C468" s="58" t="s">
        <v>1184</v>
      </c>
      <c r="D468" s="39" t="s">
        <v>19</v>
      </c>
      <c r="E468" s="39" t="s">
        <v>17</v>
      </c>
      <c r="F468" s="40"/>
      <c r="G468" s="39"/>
      <c r="H468" s="3" t="s">
        <v>1185</v>
      </c>
      <c r="I468" s="40">
        <v>43073</v>
      </c>
      <c r="J468" s="2"/>
      <c r="K468" s="2"/>
    </row>
    <row r="469" spans="1:11" ht="267.75" x14ac:dyDescent="0.25">
      <c r="A469" s="25" t="s">
        <v>1183</v>
      </c>
      <c r="B469" s="58" t="str">
        <f t="shared" si="16"/>
        <v>National Science Foundation</v>
      </c>
      <c r="C469" s="58" t="s">
        <v>1186</v>
      </c>
      <c r="D469" s="39" t="s">
        <v>928</v>
      </c>
      <c r="E469" s="39" t="s">
        <v>17</v>
      </c>
      <c r="F469" s="40"/>
      <c r="G469" s="39"/>
      <c r="H469" s="3" t="s">
        <v>1187</v>
      </c>
      <c r="I469" s="40">
        <v>43073</v>
      </c>
      <c r="J469" s="2"/>
      <c r="K469" s="2"/>
    </row>
    <row r="470" spans="1:11" ht="102" x14ac:dyDescent="0.25">
      <c r="A470" s="25" t="s">
        <v>1188</v>
      </c>
      <c r="B470" s="58" t="str">
        <f>HYPERLINK("http://librarycompany.org","Library Company of Philadelphia")</f>
        <v>Library Company of Philadelphia</v>
      </c>
      <c r="C470" s="58" t="str">
        <f>HYPERLINK("http://librarycompany.org/academic-programs/fellowships/postdoc/","NEH Post-doctoral Fellowship")</f>
        <v>NEH Post-doctoral Fellowship</v>
      </c>
      <c r="D470" s="39" t="s">
        <v>143</v>
      </c>
      <c r="E470" s="39" t="s">
        <v>21</v>
      </c>
      <c r="F470" s="39"/>
      <c r="G470" s="39" t="s">
        <v>1189</v>
      </c>
      <c r="H470" s="3" t="s">
        <v>1190</v>
      </c>
      <c r="I470" s="39"/>
      <c r="J470" s="2"/>
      <c r="K470" s="2"/>
    </row>
    <row r="471" spans="1:11" ht="127.5" x14ac:dyDescent="0.25">
      <c r="A471" s="25" t="s">
        <v>1188</v>
      </c>
      <c r="B471" s="58" t="s">
        <v>1191</v>
      </c>
      <c r="C471" s="58" t="s">
        <v>73</v>
      </c>
      <c r="D471" s="39" t="s">
        <v>143</v>
      </c>
      <c r="E471" s="39" t="s">
        <v>21</v>
      </c>
      <c r="F471" s="39"/>
      <c r="G471" s="39" t="s">
        <v>1192</v>
      </c>
      <c r="H471" s="3" t="s">
        <v>1193</v>
      </c>
      <c r="I471" s="39"/>
      <c r="J471" s="2"/>
      <c r="K471" s="2"/>
    </row>
    <row r="472" spans="1:11" ht="140.25" x14ac:dyDescent="0.25">
      <c r="A472" s="25" t="s">
        <v>1188</v>
      </c>
      <c r="B472" s="58" t="str">
        <f>HYPERLINK("https://www.marybakereddylibrary.org/","Mary Baker Eddy Library")</f>
        <v>Mary Baker Eddy Library</v>
      </c>
      <c r="C472" s="58" t="str">
        <f>HYPERLINK("https://www.marybakereddylibrary.org/research/fellows/","Fellowship Program ")</f>
        <v xml:space="preserve">Fellowship Program </v>
      </c>
      <c r="D472" s="39" t="s">
        <v>805</v>
      </c>
      <c r="E472" s="39" t="s">
        <v>21</v>
      </c>
      <c r="F472" s="39"/>
      <c r="G472" s="39"/>
      <c r="H472" s="3" t="s">
        <v>1194</v>
      </c>
      <c r="I472" s="39"/>
      <c r="J472" s="2"/>
      <c r="K472" s="2"/>
    </row>
    <row r="473" spans="1:11" ht="102" x14ac:dyDescent="0.25">
      <c r="A473" s="25" t="s">
        <v>1188</v>
      </c>
      <c r="B473" s="58" t="str">
        <f>HYPERLINK("https://rework.hu-berlin.de/en/news.html","International Research Centre ‘Work and Human Lifecycle in Global History’ at Humboldt University in Berlin (re:work)")</f>
        <v>International Research Centre ‘Work and Human Lifecycle in Global History’ at Humboldt University in Berlin (re:work)</v>
      </c>
      <c r="C473" s="58" t="s">
        <v>1195</v>
      </c>
      <c r="D473" s="39" t="s">
        <v>11</v>
      </c>
      <c r="E473" s="39" t="s">
        <v>21</v>
      </c>
      <c r="F473" s="39"/>
      <c r="G473" s="39" t="s">
        <v>70</v>
      </c>
      <c r="H473" s="3" t="s">
        <v>1196</v>
      </c>
      <c r="I473" s="39"/>
      <c r="J473" s="2"/>
      <c r="K473" s="2"/>
    </row>
    <row r="474" spans="1:11" ht="127.5" x14ac:dyDescent="0.25">
      <c r="A474" s="25" t="s">
        <v>1188</v>
      </c>
      <c r="B474" s="58" t="s">
        <v>1197</v>
      </c>
      <c r="C474" s="58" t="s">
        <v>1198</v>
      </c>
      <c r="D474" s="39" t="s">
        <v>11</v>
      </c>
      <c r="E474" s="39" t="s">
        <v>21</v>
      </c>
      <c r="F474" s="39"/>
      <c r="G474" s="39" t="s">
        <v>1199</v>
      </c>
      <c r="H474" s="3" t="s">
        <v>1200</v>
      </c>
      <c r="I474" s="39"/>
      <c r="J474" s="2"/>
      <c r="K474" s="2"/>
    </row>
    <row r="475" spans="1:11" ht="165.75" x14ac:dyDescent="0.25">
      <c r="A475" s="25" t="s">
        <v>1201</v>
      </c>
      <c r="B475" s="70" t="s">
        <v>1202</v>
      </c>
      <c r="C475" s="60" t="s">
        <v>1203</v>
      </c>
      <c r="D475" s="39" t="s">
        <v>11</v>
      </c>
      <c r="E475" s="39" t="s">
        <v>21</v>
      </c>
      <c r="F475" s="39"/>
      <c r="G475" s="39"/>
      <c r="H475" s="3" t="s">
        <v>1204</v>
      </c>
      <c r="I475" s="39"/>
      <c r="J475" s="5"/>
      <c r="K475" s="5"/>
    </row>
    <row r="476" spans="1:11" ht="38.25" x14ac:dyDescent="0.25">
      <c r="A476" s="22" t="s">
        <v>1188</v>
      </c>
      <c r="B476" s="59" t="str">
        <f>HYPERLINK("https://www.neh.gov/","National Endowment for the Humanities")</f>
        <v>National Endowment for the Humanities</v>
      </c>
      <c r="C476" s="58" t="s">
        <v>1205</v>
      </c>
      <c r="D476" s="39" t="s">
        <v>11</v>
      </c>
      <c r="E476" s="39" t="s">
        <v>309</v>
      </c>
      <c r="F476" s="39"/>
      <c r="G476" s="39" t="s">
        <v>1206</v>
      </c>
      <c r="H476" s="3" t="s">
        <v>1207</v>
      </c>
      <c r="I476" s="39"/>
      <c r="J476" s="2"/>
      <c r="K476" s="2"/>
    </row>
    <row r="477" spans="1:11" ht="114.75" x14ac:dyDescent="0.25">
      <c r="A477" s="25" t="s">
        <v>1188</v>
      </c>
      <c r="B477" s="58" t="str">
        <f>HYPERLINK("https://www.folger.edu/","Folger Shakespeare Library")</f>
        <v>Folger Shakespeare Library</v>
      </c>
      <c r="C477" s="58" t="str">
        <f>HYPERLINK("https://www.folger.edu/about-fellowships","Long Term Fellowship")</f>
        <v>Long Term Fellowship</v>
      </c>
      <c r="D477" s="39" t="s">
        <v>283</v>
      </c>
      <c r="E477" s="39" t="s">
        <v>21</v>
      </c>
      <c r="F477" s="39"/>
      <c r="G477" s="39" t="s">
        <v>1208</v>
      </c>
      <c r="H477" s="3" t="s">
        <v>489</v>
      </c>
      <c r="I477" s="39"/>
      <c r="J477" s="2"/>
      <c r="K477" s="2"/>
    </row>
    <row r="478" spans="1:11" ht="102" x14ac:dyDescent="0.25">
      <c r="A478" s="25" t="s">
        <v>1188</v>
      </c>
      <c r="B478" s="58" t="s">
        <v>1209</v>
      </c>
      <c r="C478" s="58" t="s">
        <v>1210</v>
      </c>
      <c r="D478" s="39" t="s">
        <v>1211</v>
      </c>
      <c r="E478" s="39" t="s">
        <v>378</v>
      </c>
      <c r="F478" s="39"/>
      <c r="G478" s="39" t="s">
        <v>1212</v>
      </c>
      <c r="H478" s="3" t="s">
        <v>1213</v>
      </c>
      <c r="I478" s="39"/>
      <c r="J478" s="2"/>
      <c r="K478" s="2"/>
    </row>
    <row r="479" spans="1:11" ht="229.5" x14ac:dyDescent="0.25">
      <c r="A479" s="25" t="s">
        <v>1188</v>
      </c>
      <c r="B479" s="58" t="str">
        <f>HYPERLINK("https://irh.wisc.edu","Institute for Research in the Humanities at University of Wisconsin at Madison")</f>
        <v>Institute for Research in the Humanities at University of Wisconsin at Madison</v>
      </c>
      <c r="C479" s="58" t="str">
        <f>HYPERLINK("https://irh.wisc.edu/fellowships/kingdon","Kingdon Fellowships")</f>
        <v>Kingdon Fellowships</v>
      </c>
      <c r="D479" s="39" t="s">
        <v>1214</v>
      </c>
      <c r="E479" s="39" t="s">
        <v>21</v>
      </c>
      <c r="F479" s="39"/>
      <c r="G479" s="50">
        <v>55000</v>
      </c>
      <c r="H479" s="3" t="s">
        <v>1215</v>
      </c>
      <c r="I479" s="39"/>
      <c r="J479" s="2"/>
      <c r="K479" s="2"/>
    </row>
    <row r="480" spans="1:11" ht="102" x14ac:dyDescent="0.25">
      <c r="A480" s="25" t="s">
        <v>1188</v>
      </c>
      <c r="B480" s="58" t="str">
        <f>HYPERLINK("http://ircpl.columbia.edu/","Institute for Religon, Culture, and Public Life")</f>
        <v>Institute for Religon, Culture, and Public Life</v>
      </c>
      <c r="C480" s="58" t="str">
        <f>HYPERLINK("http://ircpl.columbia.edu/resources/joint-projects/","Joint Projects")</f>
        <v>Joint Projects</v>
      </c>
      <c r="D480" s="39" t="s">
        <v>1214</v>
      </c>
      <c r="E480" s="39" t="s">
        <v>1216</v>
      </c>
      <c r="F480" s="40"/>
      <c r="G480" s="40"/>
      <c r="H480" s="7" t="s">
        <v>1217</v>
      </c>
      <c r="I480" s="40">
        <v>43146</v>
      </c>
      <c r="J480" s="2"/>
      <c r="K480" s="2"/>
    </row>
    <row r="481" spans="1:11" ht="25.5" x14ac:dyDescent="0.25">
      <c r="A481" s="25" t="s">
        <v>1188</v>
      </c>
      <c r="B481" s="58" t="s">
        <v>1218</v>
      </c>
      <c r="C481" s="58" t="s">
        <v>1219</v>
      </c>
      <c r="D481" s="39" t="s">
        <v>286</v>
      </c>
      <c r="E481" s="39" t="s">
        <v>17</v>
      </c>
      <c r="F481" s="39"/>
      <c r="G481" s="39"/>
      <c r="H481" s="20"/>
      <c r="I481" s="39"/>
      <c r="J481" s="2"/>
      <c r="K481" s="2"/>
    </row>
    <row r="482" spans="1:11" ht="229.5" x14ac:dyDescent="0.25">
      <c r="A482" s="25" t="s">
        <v>1188</v>
      </c>
      <c r="B482" s="58" t="s">
        <v>1220</v>
      </c>
      <c r="C482" s="58" t="s">
        <v>1221</v>
      </c>
      <c r="D482" s="39" t="s">
        <v>286</v>
      </c>
      <c r="E482" s="39" t="s">
        <v>21</v>
      </c>
      <c r="F482" s="39"/>
      <c r="G482" s="50">
        <v>4000</v>
      </c>
      <c r="H482" s="18" t="s">
        <v>1222</v>
      </c>
      <c r="I482" s="39"/>
      <c r="J482" s="2"/>
      <c r="K482" s="2"/>
    </row>
    <row r="483" spans="1:11" ht="102" x14ac:dyDescent="0.25">
      <c r="A483" s="25" t="s">
        <v>1188</v>
      </c>
      <c r="B483" s="58" t="s">
        <v>1223</v>
      </c>
      <c r="C483" s="58" t="s">
        <v>1224</v>
      </c>
      <c r="D483" s="39" t="s">
        <v>286</v>
      </c>
      <c r="E483" s="39" t="s">
        <v>73</v>
      </c>
      <c r="F483" s="39"/>
      <c r="G483" s="50">
        <v>7000</v>
      </c>
      <c r="H483" s="3" t="s">
        <v>1225</v>
      </c>
      <c r="I483" s="39" t="s">
        <v>45</v>
      </c>
      <c r="J483" s="2"/>
      <c r="K483" s="2"/>
    </row>
    <row r="484" spans="1:11" ht="140.25" x14ac:dyDescent="0.25">
      <c r="A484" s="25" t="s">
        <v>1188</v>
      </c>
      <c r="B484" s="58" t="str">
        <f>HYPERLINK("https://www.arts.gov/","National Endowment for the Arts")</f>
        <v>National Endowment for the Arts</v>
      </c>
      <c r="C484" s="58" t="str">
        <f>HYPERLINK("https://www.arts.gov/grants/apply-grant/grants-organizations","Art Works")</f>
        <v>Art Works</v>
      </c>
      <c r="D484" s="39" t="s">
        <v>286</v>
      </c>
      <c r="E484" s="39" t="s">
        <v>258</v>
      </c>
      <c r="F484" s="40"/>
      <c r="G484" s="39"/>
      <c r="H484" s="3" t="s">
        <v>1226</v>
      </c>
      <c r="I484" s="40"/>
      <c r="J484" s="2"/>
      <c r="K484" s="2"/>
    </row>
    <row r="485" spans="1:11" s="31" customFormat="1" ht="89.25" x14ac:dyDescent="0.25">
      <c r="A485" s="36" t="s">
        <v>1188</v>
      </c>
      <c r="B485" s="66" t="str">
        <f>HYPERLINK("http://www.aera.net/","American Educational Research Association")</f>
        <v>American Educational Research Association</v>
      </c>
      <c r="C485" s="66" t="str">
        <f>HYPERLINK("http://www.aera.net/Professional-Opportunities-Funding/AERA-Funding-Opportunities/Grants-Program/Research-Grants","Research Grants")</f>
        <v>Research Grants</v>
      </c>
      <c r="D485" s="45" t="s">
        <v>33</v>
      </c>
      <c r="E485" s="45" t="s">
        <v>17</v>
      </c>
      <c r="F485" s="45"/>
      <c r="G485" s="52" t="s">
        <v>1227</v>
      </c>
      <c r="H485" s="35" t="s">
        <v>1228</v>
      </c>
      <c r="I485" s="45"/>
      <c r="J485" s="34"/>
      <c r="K485" s="34"/>
    </row>
    <row r="486" spans="1:11" ht="331.5" x14ac:dyDescent="0.25">
      <c r="A486" s="25" t="s">
        <v>1188</v>
      </c>
      <c r="B486" s="58" t="str">
        <f>HYPERLINK("https://www.jsmf.org/","James S. McDonnell Foundation")</f>
        <v>James S. McDonnell Foundation</v>
      </c>
      <c r="C486" s="64" t="str">
        <f>HYPERLINK("https://www.jsmf.org/apply/teachers-as-learners/","Teachers as Learners")</f>
        <v>Teachers as Learners</v>
      </c>
      <c r="D486" s="39" t="s">
        <v>1229</v>
      </c>
      <c r="E486" s="39" t="s">
        <v>17</v>
      </c>
      <c r="F486" s="39"/>
      <c r="G486" s="39" t="s">
        <v>1230</v>
      </c>
      <c r="H486" s="3" t="s">
        <v>1231</v>
      </c>
      <c r="I486" s="39"/>
      <c r="J486" s="2"/>
      <c r="K486" s="2"/>
    </row>
    <row r="487" spans="1:11" x14ac:dyDescent="0.25">
      <c r="A487" s="25" t="s">
        <v>1188</v>
      </c>
      <c r="B487" s="58" t="s">
        <v>1202</v>
      </c>
      <c r="C487" s="58" t="s">
        <v>1232</v>
      </c>
      <c r="D487" s="39" t="s">
        <v>16</v>
      </c>
      <c r="E487" s="39" t="s">
        <v>236</v>
      </c>
      <c r="F487" s="39"/>
      <c r="G487" s="39"/>
      <c r="H487" s="1" t="s">
        <v>13</v>
      </c>
      <c r="I487" s="39"/>
      <c r="J487" s="5"/>
      <c r="K487" s="5"/>
    </row>
    <row r="488" spans="1:11" ht="127.5" x14ac:dyDescent="0.25">
      <c r="A488" s="25" t="s">
        <v>1188</v>
      </c>
      <c r="B488" s="58" t="str">
        <f>HYPERLINK("https://www.nypl.org/","New York Public Library")</f>
        <v>New York Public Library</v>
      </c>
      <c r="C488" s="58" t="str">
        <f>HYPERLINK("https://www.nypl.org/help/about-nypl/fellowships-institutes/martin-duberman-visiting-fellowship","Martin Duberman Visiting Fellowship")</f>
        <v>Martin Duberman Visiting Fellowship</v>
      </c>
      <c r="D488" s="39" t="s">
        <v>16</v>
      </c>
      <c r="E488" s="39" t="s">
        <v>21</v>
      </c>
      <c r="F488" s="39"/>
      <c r="G488" s="50">
        <v>20000</v>
      </c>
      <c r="H488" s="3" t="s">
        <v>1233</v>
      </c>
      <c r="I488" s="39"/>
      <c r="J488" s="2"/>
      <c r="K488" s="2"/>
    </row>
    <row r="489" spans="1:11" ht="140.25" x14ac:dyDescent="0.25">
      <c r="A489" s="25" t="s">
        <v>1188</v>
      </c>
      <c r="B489" s="58" t="str">
        <f>HYPERLINK("https://www.brown.edu/initiatives/howard-foundation/","George A. and Eliza Gardner Howard Foundation at Brown University")</f>
        <v>George A. and Eliza Gardner Howard Foundation at Brown University</v>
      </c>
      <c r="C489" s="58" t="str">
        <f>HYPERLINK("https://www.brown.edu/initiatives/howard-foundation/","Fellowships")</f>
        <v>Fellowships</v>
      </c>
      <c r="D489" s="39" t="s">
        <v>16</v>
      </c>
      <c r="E489" s="39" t="s">
        <v>1234</v>
      </c>
      <c r="F489" s="39" t="s">
        <v>1235</v>
      </c>
      <c r="G489" s="50">
        <v>33000</v>
      </c>
      <c r="H489" s="3" t="s">
        <v>1236</v>
      </c>
      <c r="I489" s="39"/>
      <c r="J489" s="2"/>
      <c r="K489" s="2"/>
    </row>
    <row r="490" spans="1:11" ht="25.5" x14ac:dyDescent="0.25">
      <c r="A490" s="25" t="s">
        <v>1188</v>
      </c>
      <c r="B490" s="58" t="s">
        <v>1237</v>
      </c>
      <c r="C490" s="58" t="s">
        <v>1238</v>
      </c>
      <c r="D490" s="39" t="s">
        <v>16</v>
      </c>
      <c r="E490" s="39" t="s">
        <v>12</v>
      </c>
      <c r="F490" s="39"/>
      <c r="G490" s="39"/>
      <c r="H490" s="1"/>
      <c r="I490" s="39"/>
      <c r="J490" s="2"/>
      <c r="K490" s="2"/>
    </row>
    <row r="491" spans="1:11" ht="114.75" x14ac:dyDescent="0.25">
      <c r="A491" s="25" t="s">
        <v>1188</v>
      </c>
      <c r="B491" s="58" t="s">
        <v>104</v>
      </c>
      <c r="C491" s="58" t="s">
        <v>1239</v>
      </c>
      <c r="D491" s="39" t="s">
        <v>16</v>
      </c>
      <c r="E491" s="39" t="s">
        <v>378</v>
      </c>
      <c r="F491" s="39"/>
      <c r="G491" s="39"/>
      <c r="H491" s="3" t="s">
        <v>1240</v>
      </c>
      <c r="I491" s="39"/>
      <c r="J491" s="2"/>
      <c r="K491" s="2"/>
    </row>
    <row r="492" spans="1:11" ht="178.5" x14ac:dyDescent="0.25">
      <c r="A492" s="25" t="s">
        <v>1188</v>
      </c>
      <c r="B492" s="58" t="str">
        <f>HYPERLINK("http://www.huntington.org","The Huntington")</f>
        <v>The Huntington</v>
      </c>
      <c r="C492" s="58" t="s">
        <v>80</v>
      </c>
      <c r="D492" s="39" t="s">
        <v>16</v>
      </c>
      <c r="E492" s="39" t="s">
        <v>154</v>
      </c>
      <c r="F492" s="39"/>
      <c r="G492" s="39" t="s">
        <v>155</v>
      </c>
      <c r="H492" s="3" t="s">
        <v>1241</v>
      </c>
      <c r="I492" s="39"/>
      <c r="J492" s="2"/>
      <c r="K492" s="2"/>
    </row>
    <row r="493" spans="1:11" ht="165.75" x14ac:dyDescent="0.25">
      <c r="A493" s="25" t="s">
        <v>1188</v>
      </c>
      <c r="B493" s="58" t="s">
        <v>1242</v>
      </c>
      <c r="C493" s="58" t="s">
        <v>1243</v>
      </c>
      <c r="D493" s="39" t="s">
        <v>16</v>
      </c>
      <c r="E493" s="39" t="s">
        <v>154</v>
      </c>
      <c r="F493" s="39"/>
      <c r="G493" s="39" t="s">
        <v>1244</v>
      </c>
      <c r="H493" s="3" t="s">
        <v>1245</v>
      </c>
      <c r="I493" s="39"/>
      <c r="J493" s="2"/>
      <c r="K493" s="2"/>
    </row>
    <row r="494" spans="1:11" ht="25.5" x14ac:dyDescent="0.25">
      <c r="A494" s="25" t="s">
        <v>1188</v>
      </c>
      <c r="B494" s="58" t="s">
        <v>1246</v>
      </c>
      <c r="C494" s="58" t="s">
        <v>1247</v>
      </c>
      <c r="D494" s="39" t="s">
        <v>16</v>
      </c>
      <c r="E494" s="39"/>
      <c r="F494" s="39"/>
      <c r="G494" s="39"/>
      <c r="H494" s="1"/>
      <c r="I494" s="39"/>
      <c r="J494" s="2"/>
      <c r="K494" s="2"/>
    </row>
    <row r="495" spans="1:11" ht="165.75" x14ac:dyDescent="0.25">
      <c r="A495" s="25" t="s">
        <v>1188</v>
      </c>
      <c r="B495" s="58" t="s">
        <v>1248</v>
      </c>
      <c r="C495" s="58" t="s">
        <v>1249</v>
      </c>
      <c r="D495" s="39" t="s">
        <v>16</v>
      </c>
      <c r="E495" s="39" t="s">
        <v>132</v>
      </c>
      <c r="F495" s="39"/>
      <c r="G495" s="39"/>
      <c r="H495" s="3" t="s">
        <v>1250</v>
      </c>
      <c r="I495" s="39"/>
      <c r="J495" s="5"/>
      <c r="K495" s="5"/>
    </row>
    <row r="496" spans="1:11" ht="267.75" x14ac:dyDescent="0.25">
      <c r="A496" s="25" t="s">
        <v>1188</v>
      </c>
      <c r="B496" s="58" t="s">
        <v>1220</v>
      </c>
      <c r="C496" s="58" t="str">
        <f>HYPERLINK("http://hcl.harvard.edu/libraries/houghton/public_programs/visiting_fellowships.cfm","Houghton Library Visiting Fellowship")</f>
        <v>Houghton Library Visiting Fellowship</v>
      </c>
      <c r="D496" s="39" t="s">
        <v>16</v>
      </c>
      <c r="E496" s="39" t="s">
        <v>21</v>
      </c>
      <c r="F496" s="39"/>
      <c r="G496" s="50">
        <v>3600</v>
      </c>
      <c r="H496" s="3" t="s">
        <v>1251</v>
      </c>
      <c r="I496" s="39"/>
      <c r="J496" s="2"/>
      <c r="K496" s="2"/>
    </row>
    <row r="497" spans="1:11" ht="89.25" x14ac:dyDescent="0.25">
      <c r="A497" s="25" t="s">
        <v>1188</v>
      </c>
      <c r="B497" s="58" t="s">
        <v>1252</v>
      </c>
      <c r="C497" s="58" t="s">
        <v>1253</v>
      </c>
      <c r="D497" s="39" t="s">
        <v>16</v>
      </c>
      <c r="E497" s="39" t="s">
        <v>21</v>
      </c>
      <c r="F497" s="39"/>
      <c r="G497" s="50">
        <v>250</v>
      </c>
      <c r="H497" s="3" t="s">
        <v>1254</v>
      </c>
      <c r="I497" s="39"/>
      <c r="J497" s="2"/>
      <c r="K497" s="2"/>
    </row>
    <row r="498" spans="1:11" ht="63.75" x14ac:dyDescent="0.25">
      <c r="A498" s="22" t="s">
        <v>1188</v>
      </c>
      <c r="B498" s="58" t="s">
        <v>1255</v>
      </c>
      <c r="C498" s="58" t="s">
        <v>1256</v>
      </c>
      <c r="D498" s="39" t="s">
        <v>16</v>
      </c>
      <c r="E498" s="39" t="s">
        <v>17</v>
      </c>
      <c r="F498" s="39"/>
      <c r="G498" s="39" t="s">
        <v>1257</v>
      </c>
      <c r="H498" s="3" t="s">
        <v>1258</v>
      </c>
      <c r="I498" s="39"/>
      <c r="J498" s="2"/>
      <c r="K498" s="2"/>
    </row>
    <row r="499" spans="1:11" ht="51" x14ac:dyDescent="0.25">
      <c r="A499" s="25" t="s">
        <v>1188</v>
      </c>
      <c r="B499" s="58" t="str">
        <f>HYPERLINK("https://www.african.cam.ac.uk/","Centre of African Studies, University of Cambridge")</f>
        <v>Centre of African Studies, University of Cambridge</v>
      </c>
      <c r="C499" s="58" t="str">
        <f>HYPERLINK("https://www.african.cam.ac.uk/fellowship/casfellowship","The Centre of African Studies Visiting Fellowship")</f>
        <v>The Centre of African Studies Visiting Fellowship</v>
      </c>
      <c r="D499" s="39" t="s">
        <v>352</v>
      </c>
      <c r="E499" s="39" t="s">
        <v>21</v>
      </c>
      <c r="F499" s="39"/>
      <c r="G499" s="39" t="s">
        <v>1259</v>
      </c>
      <c r="H499" s="3" t="s">
        <v>1260</v>
      </c>
      <c r="I499" s="39"/>
      <c r="J499" s="2"/>
      <c r="K499" s="2"/>
    </row>
    <row r="500" spans="1:11" ht="76.5" x14ac:dyDescent="0.25">
      <c r="A500" s="25" t="s">
        <v>1188</v>
      </c>
      <c r="B500" s="58" t="str">
        <f>HYPERLINK("http://www.asmeascholars.org/","Association for the Study of the Middle East and Africa")</f>
        <v>Association for the Study of the Middle East and Africa</v>
      </c>
      <c r="C500" s="58" t="str">
        <f>HYPERLINK("http://www.asmeascholars.org/resources/sultan-qaboos-cultural-centers-sqcc-research-fellowship/","Sultan Qaboos Cultural Center’s Research Fellowship")</f>
        <v>Sultan Qaboos Cultural Center’s Research Fellowship</v>
      </c>
      <c r="D500" s="39" t="s">
        <v>76</v>
      </c>
      <c r="E500" s="39" t="s">
        <v>21</v>
      </c>
      <c r="F500" s="39"/>
      <c r="G500" s="39" t="s">
        <v>1261</v>
      </c>
      <c r="H500" s="3" t="s">
        <v>1262</v>
      </c>
      <c r="I500" s="39"/>
      <c r="J500" s="2"/>
      <c r="K500" s="2"/>
    </row>
    <row r="501" spans="1:11" ht="25.5" x14ac:dyDescent="0.25">
      <c r="A501" s="22" t="s">
        <v>1188</v>
      </c>
      <c r="B501" s="58" t="s">
        <v>1263</v>
      </c>
      <c r="C501" s="58" t="s">
        <v>675</v>
      </c>
      <c r="D501" s="39" t="s">
        <v>19</v>
      </c>
      <c r="E501" s="39" t="s">
        <v>17</v>
      </c>
      <c r="F501" s="39"/>
      <c r="G501" s="39"/>
      <c r="H501" s="1" t="s">
        <v>13</v>
      </c>
      <c r="I501" s="39"/>
      <c r="J501" s="2"/>
      <c r="K501" s="2"/>
    </row>
    <row r="502" spans="1:11" ht="25.5" x14ac:dyDescent="0.25">
      <c r="A502" s="22" t="s">
        <v>1188</v>
      </c>
      <c r="B502" s="58" t="s">
        <v>1263</v>
      </c>
      <c r="C502" s="58" t="s">
        <v>1264</v>
      </c>
      <c r="D502" s="39" t="s">
        <v>19</v>
      </c>
      <c r="E502" s="39" t="s">
        <v>17</v>
      </c>
      <c r="F502" s="39"/>
      <c r="G502" s="39"/>
      <c r="H502" s="1" t="s">
        <v>13</v>
      </c>
      <c r="I502" s="39"/>
      <c r="J502" s="2"/>
      <c r="K502" s="2"/>
    </row>
    <row r="503" spans="1:11" ht="25.5" x14ac:dyDescent="0.25">
      <c r="A503" s="22" t="s">
        <v>1188</v>
      </c>
      <c r="B503" s="58" t="s">
        <v>1265</v>
      </c>
      <c r="C503" s="58" t="s">
        <v>1266</v>
      </c>
      <c r="D503" s="39" t="s">
        <v>111</v>
      </c>
      <c r="E503" s="39" t="s">
        <v>17</v>
      </c>
      <c r="F503" s="39"/>
      <c r="G503" s="39"/>
      <c r="H503" s="1" t="s">
        <v>13</v>
      </c>
      <c r="I503" s="39"/>
      <c r="J503" s="2"/>
      <c r="K503" s="2"/>
    </row>
    <row r="504" spans="1:11" ht="306" x14ac:dyDescent="0.25">
      <c r="A504" s="25" t="s">
        <v>1201</v>
      </c>
      <c r="B504" s="58" t="str">
        <f>HYPERLINK("https://www.ssrc.org/","Social Science Research Council")</f>
        <v>Social Science Research Council</v>
      </c>
      <c r="C504" s="58" t="str">
        <f>HYPERLINK("https://www.ssrc.org/fellowships/view/dsd-fellowship/","Drugs, Security and Democracy (DSD) Program fellowship")</f>
        <v>Drugs, Security and Democracy (DSD) Program fellowship</v>
      </c>
      <c r="D504" s="39" t="s">
        <v>111</v>
      </c>
      <c r="E504" s="39" t="s">
        <v>73</v>
      </c>
      <c r="F504" s="39"/>
      <c r="G504" s="39" t="s">
        <v>1267</v>
      </c>
      <c r="H504" s="3" t="s">
        <v>1268</v>
      </c>
      <c r="I504" s="39"/>
      <c r="J504" s="2"/>
      <c r="K504" s="2"/>
    </row>
    <row r="505" spans="1:11" ht="165.75" x14ac:dyDescent="0.25">
      <c r="A505" s="25" t="s">
        <v>1269</v>
      </c>
      <c r="B505" s="58" t="s">
        <v>733</v>
      </c>
      <c r="C505" s="58" t="s">
        <v>1270</v>
      </c>
      <c r="D505" s="39" t="s">
        <v>1271</v>
      </c>
      <c r="E505" s="39" t="s">
        <v>73</v>
      </c>
      <c r="F505" s="39"/>
      <c r="G505" s="50">
        <v>7500</v>
      </c>
      <c r="H505" s="3" t="s">
        <v>1272</v>
      </c>
      <c r="I505" s="39"/>
      <c r="J505" s="2"/>
      <c r="K505" s="2"/>
    </row>
    <row r="506" spans="1:11" ht="140.25" x14ac:dyDescent="0.25">
      <c r="A506" s="25" t="s">
        <v>1273</v>
      </c>
      <c r="B506" s="58" t="str">
        <f t="shared" ref="B506:B508" si="17">HYPERLINK("http://artomi.org/","Art Omi")</f>
        <v>Art Omi</v>
      </c>
      <c r="C506" s="58" t="str">
        <f>HYPERLINK("http://45.55.141.4/residencies/art","Art Omi: Artists Residency")</f>
        <v>Art Omi: Artists Residency</v>
      </c>
      <c r="D506" s="39" t="s">
        <v>1110</v>
      </c>
      <c r="E506" s="39" t="s">
        <v>21</v>
      </c>
      <c r="F506" s="39" t="s">
        <v>1274</v>
      </c>
      <c r="G506" s="39" t="s">
        <v>1042</v>
      </c>
      <c r="H506" s="3" t="s">
        <v>1275</v>
      </c>
      <c r="I506" s="39"/>
      <c r="J506" s="2"/>
      <c r="K506" s="2"/>
    </row>
    <row r="507" spans="1:11" ht="140.25" x14ac:dyDescent="0.25">
      <c r="A507" s="25" t="s">
        <v>1273</v>
      </c>
      <c r="B507" s="58" t="str">
        <f t="shared" si="17"/>
        <v>Art Omi</v>
      </c>
      <c r="C507" s="58" t="str">
        <f>HYPERLINK("http://artomi.org/residencies","Art Omi: Writers Residency")</f>
        <v>Art Omi: Writers Residency</v>
      </c>
      <c r="D507" s="39" t="s">
        <v>37</v>
      </c>
      <c r="E507" s="39" t="s">
        <v>21</v>
      </c>
      <c r="F507" s="39"/>
      <c r="G507" s="39" t="s">
        <v>1042</v>
      </c>
      <c r="H507" s="3" t="s">
        <v>1276</v>
      </c>
      <c r="I507" s="39"/>
      <c r="J507" s="2"/>
      <c r="K507" s="2"/>
    </row>
    <row r="508" spans="1:11" ht="140.25" x14ac:dyDescent="0.25">
      <c r="A508" s="25" t="s">
        <v>1277</v>
      </c>
      <c r="B508" s="58" t="str">
        <f t="shared" si="17"/>
        <v>Art Omi</v>
      </c>
      <c r="C508" s="58" t="str">
        <f>HYPERLINK("http://45.55.141.4/residencies/art-omi-architecture","Art Omi: Architecture Residency")</f>
        <v>Art Omi: Architecture Residency</v>
      </c>
      <c r="D508" s="39" t="s">
        <v>1278</v>
      </c>
      <c r="E508" s="39" t="s">
        <v>21</v>
      </c>
      <c r="F508" s="39" t="s">
        <v>1279</v>
      </c>
      <c r="G508" s="39" t="s">
        <v>1042</v>
      </c>
      <c r="H508" s="3" t="s">
        <v>1280</v>
      </c>
      <c r="I508" s="39"/>
      <c r="J508" s="2"/>
      <c r="K508" s="2"/>
    </row>
    <row r="509" spans="1:11" ht="76.5" x14ac:dyDescent="0.25">
      <c r="A509" s="25" t="s">
        <v>1281</v>
      </c>
      <c r="B509" s="58" t="str">
        <f t="shared" ref="B509:B510" si="18">HYPERLINK("https://www.acls.org","American Council of Learned Societies")</f>
        <v>American Council of Learned Societies</v>
      </c>
      <c r="C509" s="58" t="str">
        <f>HYPERLINK("https://www.acls.org/programs/collaborative/","ACLS Collaborative Research Fellowships")</f>
        <v>ACLS Collaborative Research Fellowships</v>
      </c>
      <c r="D509" s="39" t="s">
        <v>16</v>
      </c>
      <c r="E509" s="39" t="s">
        <v>73</v>
      </c>
      <c r="F509" s="39"/>
      <c r="G509" s="39" t="s">
        <v>1282</v>
      </c>
      <c r="H509" s="3" t="s">
        <v>1283</v>
      </c>
      <c r="I509" s="39" t="s">
        <v>45</v>
      </c>
      <c r="J509" s="2"/>
      <c r="K509" s="2"/>
    </row>
    <row r="510" spans="1:11" ht="153" x14ac:dyDescent="0.25">
      <c r="A510" s="25" t="s">
        <v>1281</v>
      </c>
      <c r="B510" s="58" t="str">
        <f t="shared" si="18"/>
        <v>American Council of Learned Societies</v>
      </c>
      <c r="C510" s="58" t="str">
        <f>HYPERLINK("https://www.acls.org/programs/acls/","ACLS Fellowships")</f>
        <v>ACLS Fellowships</v>
      </c>
      <c r="D510" s="39" t="s">
        <v>16</v>
      </c>
      <c r="E510" s="39" t="s">
        <v>73</v>
      </c>
      <c r="F510" s="39" t="s">
        <v>1284</v>
      </c>
      <c r="G510" s="39" t="s">
        <v>1285</v>
      </c>
      <c r="H510" s="3" t="s">
        <v>875</v>
      </c>
      <c r="I510" s="39" t="s">
        <v>45</v>
      </c>
      <c r="J510" s="2"/>
      <c r="K510" s="2"/>
    </row>
    <row r="511" spans="1:11" ht="153" x14ac:dyDescent="0.25">
      <c r="A511" s="22" t="s">
        <v>1286</v>
      </c>
      <c r="B511" s="58" t="str">
        <f>HYPERLINK("https://www.nsf.gov/","National Science Foundation")</f>
        <v>National Science Foundation</v>
      </c>
      <c r="C511" s="58" t="s">
        <v>1287</v>
      </c>
      <c r="D511" s="39" t="s">
        <v>19</v>
      </c>
      <c r="E511" s="39" t="s">
        <v>17</v>
      </c>
      <c r="F511" s="39"/>
      <c r="G511" s="39"/>
      <c r="H511" s="3" t="s">
        <v>1288</v>
      </c>
      <c r="I511" s="39"/>
      <c r="J511" s="2"/>
      <c r="K511" s="2"/>
    </row>
    <row r="512" spans="1:11" ht="191.25" x14ac:dyDescent="0.25">
      <c r="A512" s="29" t="s">
        <v>1289</v>
      </c>
      <c r="B512" s="71" t="str">
        <f>HYPERLINK("https://sobp.org/","Society of Biological Psychiatry")</f>
        <v>Society of Biological Psychiatry</v>
      </c>
      <c r="C512" s="71" t="str">
        <f>HYPERLINK("https://sobp.org/travel-fellowship-award-early-career-investigator-domestic/","Travel Fellowship Award")</f>
        <v>Travel Fellowship Award</v>
      </c>
      <c r="D512" s="48" t="s">
        <v>1290</v>
      </c>
      <c r="E512" s="48" t="s">
        <v>394</v>
      </c>
      <c r="F512" s="48" t="s">
        <v>92</v>
      </c>
      <c r="G512" s="57">
        <v>2000</v>
      </c>
      <c r="H512" s="30" t="s">
        <v>1291</v>
      </c>
      <c r="I512" s="48"/>
      <c r="J512" s="2"/>
      <c r="K512" s="2"/>
    </row>
  </sheetData>
  <hyperlinks>
    <hyperlink ref="B2" r:id="rId1"/>
    <hyperlink ref="C2" r:id="rId2"/>
    <hyperlink ref="B3" r:id="rId3"/>
    <hyperlink ref="C3" r:id="rId4"/>
    <hyperlink ref="C4" r:id="rId5"/>
    <hyperlink ref="B6" r:id="rId6"/>
    <hyperlink ref="B11" r:id="rId7"/>
    <hyperlink ref="C11" r:id="rId8"/>
    <hyperlink ref="B12" r:id="rId9"/>
    <hyperlink ref="B13" r:id="rId10"/>
    <hyperlink ref="B14" r:id="rId11"/>
    <hyperlink ref="B15" r:id="rId12"/>
    <hyperlink ref="B16" r:id="rId13"/>
    <hyperlink ref="C16" r:id="rId14"/>
    <hyperlink ref="B17" r:id="rId15"/>
    <hyperlink ref="B18" r:id="rId16"/>
    <hyperlink ref="B19" r:id="rId17"/>
    <hyperlink ref="C19" r:id="rId18"/>
    <hyperlink ref="B23" r:id="rId19"/>
    <hyperlink ref="C23" r:id="rId20"/>
    <hyperlink ref="C26" r:id="rId21"/>
    <hyperlink ref="B31" r:id="rId22"/>
    <hyperlink ref="C32" r:id="rId23"/>
    <hyperlink ref="C33" r:id="rId24"/>
    <hyperlink ref="B34" r:id="rId25"/>
    <hyperlink ref="C34" r:id="rId26"/>
    <hyperlink ref="B35" r:id="rId27"/>
    <hyperlink ref="C35" r:id="rId28"/>
    <hyperlink ref="B36" r:id="rId29"/>
    <hyperlink ref="B37" r:id="rId30"/>
    <hyperlink ref="C37" r:id="rId31"/>
    <hyperlink ref="B38" r:id="rId32"/>
    <hyperlink ref="B39" r:id="rId33"/>
    <hyperlink ref="C39" r:id="rId34"/>
    <hyperlink ref="B40" r:id="rId35"/>
    <hyperlink ref="B42" r:id="rId36"/>
    <hyperlink ref="C42" r:id="rId37"/>
    <hyperlink ref="B43" r:id="rId38"/>
    <hyperlink ref="C43" r:id="rId39"/>
    <hyperlink ref="B44" r:id="rId40"/>
    <hyperlink ref="C44" r:id="rId41"/>
    <hyperlink ref="B48" r:id="rId42"/>
    <hyperlink ref="C48" r:id="rId43"/>
    <hyperlink ref="B50" r:id="rId44"/>
    <hyperlink ref="C51" r:id="rId45"/>
    <hyperlink ref="B52" r:id="rId46"/>
    <hyperlink ref="C52" r:id="rId47"/>
    <hyperlink ref="B53" r:id="rId48"/>
    <hyperlink ref="B54" r:id="rId49"/>
    <hyperlink ref="B55" r:id="rId50"/>
    <hyperlink ref="C55" r:id="rId51"/>
    <hyperlink ref="B56" r:id="rId52"/>
    <hyperlink ref="C56" r:id="rId53"/>
    <hyperlink ref="B57" r:id="rId54"/>
    <hyperlink ref="B58" r:id="rId55"/>
    <hyperlink ref="C58" r:id="rId56"/>
    <hyperlink ref="B59" r:id="rId57"/>
    <hyperlink ref="C59" r:id="rId58"/>
    <hyperlink ref="B60" r:id="rId59"/>
    <hyperlink ref="C60" r:id="rId60"/>
    <hyperlink ref="B61" r:id="rId61"/>
    <hyperlink ref="C61" r:id="rId62"/>
    <hyperlink ref="B62" r:id="rId63"/>
    <hyperlink ref="C62" r:id="rId64"/>
    <hyperlink ref="B64" r:id="rId65"/>
    <hyperlink ref="C64" r:id="rId66"/>
    <hyperlink ref="B65" r:id="rId67"/>
    <hyperlink ref="C65" r:id="rId68"/>
    <hyperlink ref="B66" r:id="rId69"/>
    <hyperlink ref="C66" r:id="rId70"/>
    <hyperlink ref="B67" r:id="rId71"/>
    <hyperlink ref="C67" r:id="rId72"/>
    <hyperlink ref="B68" r:id="rId73"/>
    <hyperlink ref="C68" r:id="rId74"/>
    <hyperlink ref="B69" r:id="rId75"/>
    <hyperlink ref="C69" r:id="rId76"/>
    <hyperlink ref="B72" r:id="rId77"/>
    <hyperlink ref="C72" r:id="rId78"/>
    <hyperlink ref="B73" r:id="rId79"/>
    <hyperlink ref="C73" r:id="rId80"/>
    <hyperlink ref="B74" r:id="rId81"/>
    <hyperlink ref="C74" r:id="rId82"/>
    <hyperlink ref="B75" r:id="rId83"/>
    <hyperlink ref="C75" r:id="rId84"/>
    <hyperlink ref="B78" r:id="rId85"/>
    <hyperlink ref="C78" r:id="rId86"/>
    <hyperlink ref="B80" r:id="rId87"/>
    <hyperlink ref="C80" r:id="rId88"/>
    <hyperlink ref="C81" r:id="rId89"/>
    <hyperlink ref="B82" r:id="rId90"/>
    <hyperlink ref="C82" r:id="rId91"/>
    <hyperlink ref="B83" r:id="rId92"/>
    <hyperlink ref="C83" r:id="rId93"/>
    <hyperlink ref="C85" r:id="rId94"/>
    <hyperlink ref="B86" r:id="rId95"/>
    <hyperlink ref="C86" r:id="rId96"/>
    <hyperlink ref="B87" r:id="rId97"/>
    <hyperlink ref="C87" r:id="rId98"/>
    <hyperlink ref="C88" r:id="rId99"/>
    <hyperlink ref="C89" r:id="rId100"/>
    <hyperlink ref="B90" r:id="rId101"/>
    <hyperlink ref="C90" r:id="rId102"/>
    <hyperlink ref="B91" r:id="rId103"/>
    <hyperlink ref="C91" r:id="rId104"/>
    <hyperlink ref="B92" r:id="rId105"/>
    <hyperlink ref="C92" r:id="rId106"/>
    <hyperlink ref="B93" r:id="rId107"/>
    <hyperlink ref="B94" r:id="rId108"/>
    <hyperlink ref="C94" r:id="rId109"/>
    <hyperlink ref="C95" r:id="rId110"/>
    <hyperlink ref="B96" r:id="rId111"/>
    <hyperlink ref="B97" r:id="rId112"/>
    <hyperlink ref="C97" r:id="rId113"/>
    <hyperlink ref="B100" r:id="rId114"/>
    <hyperlink ref="C101" r:id="rId115"/>
    <hyperlink ref="B104" r:id="rId116"/>
    <hyperlink ref="C104" r:id="rId117"/>
    <hyperlink ref="B105" r:id="rId118"/>
    <hyperlink ref="C105" r:id="rId119"/>
    <hyperlink ref="B108" r:id="rId120"/>
    <hyperlink ref="C108" r:id="rId121"/>
    <hyperlink ref="C109" r:id="rId122"/>
    <hyperlink ref="C111" r:id="rId123"/>
    <hyperlink ref="B112" r:id="rId124"/>
    <hyperlink ref="C112" r:id="rId125"/>
    <hyperlink ref="B114" r:id="rId126"/>
    <hyperlink ref="B115" r:id="rId127"/>
    <hyperlink ref="C115" r:id="rId128"/>
    <hyperlink ref="C116" r:id="rId129"/>
    <hyperlink ref="B117" r:id="rId130"/>
    <hyperlink ref="B118" r:id="rId131"/>
    <hyperlink ref="C119" r:id="rId132"/>
    <hyperlink ref="B120" r:id="rId133"/>
    <hyperlink ref="C120" r:id="rId134"/>
    <hyperlink ref="B121" r:id="rId135"/>
    <hyperlink ref="C121" r:id="rId136"/>
    <hyperlink ref="B123" r:id="rId137"/>
    <hyperlink ref="B124" r:id="rId138"/>
    <hyperlink ref="C124" r:id="rId139"/>
    <hyperlink ref="B125" r:id="rId140"/>
    <hyperlink ref="C125" r:id="rId141"/>
    <hyperlink ref="B126" r:id="rId142"/>
    <hyperlink ref="B132" r:id="rId143"/>
    <hyperlink ref="C132" r:id="rId144"/>
    <hyperlink ref="B133" r:id="rId145"/>
    <hyperlink ref="C133" r:id="rId146"/>
    <hyperlink ref="B136" r:id="rId147"/>
    <hyperlink ref="C136" r:id="rId148"/>
    <hyperlink ref="B138" r:id="rId149"/>
    <hyperlink ref="C138" r:id="rId150"/>
    <hyperlink ref="C139" r:id="rId151"/>
    <hyperlink ref="B140" r:id="rId152"/>
    <hyperlink ref="B141" r:id="rId153"/>
    <hyperlink ref="C142" r:id="rId154"/>
    <hyperlink ref="C143" r:id="rId155"/>
    <hyperlink ref="B145" r:id="rId156"/>
    <hyperlink ref="C146" r:id="rId157"/>
    <hyperlink ref="C149" r:id="rId158"/>
    <hyperlink ref="C150" r:id="rId159"/>
    <hyperlink ref="B151" r:id="rId160"/>
    <hyperlink ref="C151" r:id="rId161"/>
    <hyperlink ref="B153" r:id="rId162"/>
    <hyperlink ref="C154" r:id="rId163"/>
    <hyperlink ref="C155" r:id="rId164"/>
    <hyperlink ref="B156" r:id="rId165"/>
    <hyperlink ref="C156" r:id="rId166"/>
    <hyperlink ref="C157" r:id="rId167"/>
    <hyperlink ref="C159" r:id="rId168"/>
    <hyperlink ref="C160" r:id="rId169"/>
    <hyperlink ref="C164" r:id="rId170"/>
    <hyperlink ref="C167" r:id="rId171"/>
    <hyperlink ref="B169" r:id="rId172"/>
    <hyperlink ref="C169" r:id="rId173"/>
    <hyperlink ref="B172" r:id="rId174"/>
    <hyperlink ref="C172" r:id="rId175"/>
    <hyperlink ref="B174" r:id="rId176"/>
    <hyperlink ref="C174" r:id="rId177"/>
    <hyperlink ref="B175" r:id="rId178"/>
    <hyperlink ref="B176" r:id="rId179"/>
    <hyperlink ref="C177" r:id="rId180"/>
    <hyperlink ref="C178" r:id="rId181"/>
    <hyperlink ref="B179" r:id="rId182"/>
    <hyperlink ref="C179" r:id="rId183"/>
    <hyperlink ref="B180" r:id="rId184"/>
    <hyperlink ref="B182" r:id="rId185"/>
    <hyperlink ref="B183" r:id="rId186"/>
    <hyperlink ref="B184" r:id="rId187"/>
    <hyperlink ref="B188" r:id="rId188"/>
    <hyperlink ref="C189" r:id="rId189"/>
    <hyperlink ref="B191" r:id="rId190"/>
    <hyperlink ref="B192" r:id="rId191"/>
    <hyperlink ref="C193" r:id="rId192"/>
    <hyperlink ref="B194" r:id="rId193"/>
    <hyperlink ref="C194" r:id="rId194"/>
    <hyperlink ref="B195" r:id="rId195"/>
    <hyperlink ref="B196" r:id="rId196"/>
    <hyperlink ref="B199" r:id="rId197"/>
    <hyperlink ref="C199" r:id="rId198"/>
    <hyperlink ref="C201" r:id="rId199"/>
    <hyperlink ref="B202" r:id="rId200"/>
    <hyperlink ref="C202" r:id="rId201"/>
    <hyperlink ref="B206" r:id="rId202"/>
    <hyperlink ref="C206" r:id="rId203"/>
    <hyperlink ref="B207" r:id="rId204"/>
    <hyperlink ref="C207" r:id="rId205"/>
    <hyperlink ref="C208" r:id="rId206"/>
    <hyperlink ref="B209" r:id="rId207"/>
    <hyperlink ref="C209" r:id="rId208"/>
    <hyperlink ref="B212" r:id="rId209"/>
    <hyperlink ref="C212" r:id="rId210"/>
    <hyperlink ref="B213" r:id="rId211"/>
    <hyperlink ref="C213" r:id="rId212"/>
    <hyperlink ref="B214" r:id="rId213"/>
    <hyperlink ref="C214" r:id="rId214"/>
    <hyperlink ref="C215" r:id="rId215"/>
    <hyperlink ref="C216" r:id="rId216"/>
    <hyperlink ref="B218" r:id="rId217"/>
    <hyperlink ref="C218" r:id="rId218"/>
    <hyperlink ref="B219" r:id="rId219"/>
    <hyperlink ref="B220" r:id="rId220"/>
    <hyperlink ref="C220" r:id="rId221"/>
    <hyperlink ref="B221" r:id="rId222"/>
    <hyperlink ref="C221" r:id="rId223"/>
    <hyperlink ref="C223" r:id="rId224"/>
    <hyperlink ref="C224" r:id="rId225"/>
    <hyperlink ref="B225" r:id="rId226"/>
    <hyperlink ref="B227" r:id="rId227"/>
    <hyperlink ref="C227" r:id="rId228"/>
    <hyperlink ref="B229" r:id="rId229"/>
    <hyperlink ref="B230" r:id="rId230"/>
    <hyperlink ref="C230" r:id="rId231"/>
    <hyperlink ref="C232" r:id="rId232"/>
    <hyperlink ref="B233" r:id="rId233"/>
    <hyperlink ref="C233" r:id="rId234"/>
    <hyperlink ref="C234" r:id="rId235"/>
    <hyperlink ref="B235" r:id="rId236"/>
    <hyperlink ref="C235" r:id="rId237"/>
    <hyperlink ref="B238" r:id="rId238"/>
    <hyperlink ref="B239" r:id="rId239"/>
    <hyperlink ref="C239" r:id="rId240"/>
    <hyperlink ref="B240" r:id="rId241"/>
    <hyperlink ref="C240" r:id="rId242"/>
    <hyperlink ref="B242" r:id="rId243"/>
    <hyperlink ref="B243" r:id="rId244"/>
    <hyperlink ref="C243" r:id="rId245"/>
    <hyperlink ref="C244" r:id="rId246"/>
    <hyperlink ref="B248" r:id="rId247"/>
    <hyperlink ref="C248" r:id="rId248"/>
    <hyperlink ref="B249" r:id="rId249"/>
    <hyperlink ref="C249" r:id="rId250"/>
    <hyperlink ref="C250" r:id="rId251"/>
    <hyperlink ref="B251" r:id="rId252"/>
    <hyperlink ref="C252" r:id="rId253"/>
    <hyperlink ref="B254" r:id="rId254" location="grants_for_artist_projects"/>
    <hyperlink ref="C254" r:id="rId255" location="grants_for_artist_projects"/>
    <hyperlink ref="B255" r:id="rId256"/>
    <hyperlink ref="C255" r:id="rId257"/>
    <hyperlink ref="B256" r:id="rId258"/>
    <hyperlink ref="C256" r:id="rId259"/>
    <hyperlink ref="B257" r:id="rId260"/>
    <hyperlink ref="C257" r:id="rId261"/>
    <hyperlink ref="B258" r:id="rId262"/>
    <hyperlink ref="C258" r:id="rId263"/>
    <hyperlink ref="B259" r:id="rId264"/>
    <hyperlink ref="C259" r:id="rId265"/>
    <hyperlink ref="C260" r:id="rId266"/>
    <hyperlink ref="B261" r:id="rId267"/>
    <hyperlink ref="C261" r:id="rId268"/>
    <hyperlink ref="B262" r:id="rId269"/>
    <hyperlink ref="C262" r:id="rId270"/>
    <hyperlink ref="B264" r:id="rId271"/>
    <hyperlink ref="C264" r:id="rId272"/>
    <hyperlink ref="B265" r:id="rId273"/>
    <hyperlink ref="C265" r:id="rId274"/>
    <hyperlink ref="B266" r:id="rId275"/>
    <hyperlink ref="C266" r:id="rId276"/>
    <hyperlink ref="B267" r:id="rId277"/>
    <hyperlink ref="B268" r:id="rId278"/>
    <hyperlink ref="C268" r:id="rId279"/>
    <hyperlink ref="B269" r:id="rId280"/>
    <hyperlink ref="B270" r:id="rId281"/>
    <hyperlink ref="C270" r:id="rId282"/>
    <hyperlink ref="C272" r:id="rId283"/>
    <hyperlink ref="B274" r:id="rId284"/>
    <hyperlink ref="B275" r:id="rId285"/>
    <hyperlink ref="C275" r:id="rId286"/>
    <hyperlink ref="B276" r:id="rId287"/>
    <hyperlink ref="C276" r:id="rId288"/>
    <hyperlink ref="C277" r:id="rId289"/>
    <hyperlink ref="B278" r:id="rId290"/>
    <hyperlink ref="C278" r:id="rId291"/>
    <hyperlink ref="B279" r:id="rId292"/>
    <hyperlink ref="C279" r:id="rId293"/>
    <hyperlink ref="B280" r:id="rId294"/>
    <hyperlink ref="C280" r:id="rId295"/>
    <hyperlink ref="B281" r:id="rId296"/>
    <hyperlink ref="C281" r:id="rId297"/>
    <hyperlink ref="B283" r:id="rId298"/>
    <hyperlink ref="C283" r:id="rId299"/>
    <hyperlink ref="B284" r:id="rId300"/>
    <hyperlink ref="C284" r:id="rId301"/>
    <hyperlink ref="B285" r:id="rId302"/>
    <hyperlink ref="C285" r:id="rId303"/>
    <hyperlink ref="B287" r:id="rId304"/>
    <hyperlink ref="C287" r:id="rId305"/>
    <hyperlink ref="B288" r:id="rId306"/>
    <hyperlink ref="C288" r:id="rId307"/>
    <hyperlink ref="B289" r:id="rId308"/>
    <hyperlink ref="B290" r:id="rId309"/>
    <hyperlink ref="C290" r:id="rId310" location="faq-distinguished-fellows"/>
    <hyperlink ref="C291" r:id="rId311"/>
    <hyperlink ref="B292" r:id="rId312"/>
    <hyperlink ref="C292" r:id="rId313"/>
    <hyperlink ref="C294" r:id="rId314"/>
    <hyperlink ref="B296" r:id="rId315"/>
    <hyperlink ref="C296" r:id="rId316"/>
    <hyperlink ref="C297" r:id="rId317"/>
    <hyperlink ref="B298" r:id="rId318"/>
    <hyperlink ref="C298" r:id="rId319"/>
    <hyperlink ref="B299" r:id="rId320"/>
    <hyperlink ref="C299" r:id="rId321"/>
    <hyperlink ref="B300" r:id="rId322"/>
    <hyperlink ref="B302" r:id="rId323"/>
    <hyperlink ref="C302" r:id="rId324"/>
    <hyperlink ref="B303" r:id="rId325"/>
    <hyperlink ref="C303" r:id="rId326"/>
    <hyperlink ref="C304" r:id="rId327"/>
    <hyperlink ref="B306" r:id="rId328"/>
    <hyperlink ref="C306" r:id="rId329" location="/research-outreach/faculty-engagement/faculty-research-awards"/>
    <hyperlink ref="C307" r:id="rId330"/>
    <hyperlink ref="B308" r:id="rId331"/>
    <hyperlink ref="C308" r:id="rId332"/>
    <hyperlink ref="C310" r:id="rId333"/>
    <hyperlink ref="C311" r:id="rId334"/>
    <hyperlink ref="B312" r:id="rId335"/>
    <hyperlink ref="C312" r:id="rId336"/>
    <hyperlink ref="C313" r:id="rId337"/>
    <hyperlink ref="C314" r:id="rId338"/>
    <hyperlink ref="B315" r:id="rId339"/>
    <hyperlink ref="B316" r:id="rId340"/>
    <hyperlink ref="B317" r:id="rId341"/>
    <hyperlink ref="C317" r:id="rId342"/>
    <hyperlink ref="B319" r:id="rId343"/>
    <hyperlink ref="C319" r:id="rId344"/>
    <hyperlink ref="B320" r:id="rId345"/>
    <hyperlink ref="C320" r:id="rId346"/>
    <hyperlink ref="C321" r:id="rId347"/>
    <hyperlink ref="C323" r:id="rId348"/>
    <hyperlink ref="B324" r:id="rId349"/>
    <hyperlink ref="C324" r:id="rId350"/>
    <hyperlink ref="C325" r:id="rId351" location="apply"/>
    <hyperlink ref="C326" r:id="rId352"/>
    <hyperlink ref="C327" r:id="rId353"/>
    <hyperlink ref="B328" r:id="rId354"/>
    <hyperlink ref="C328" r:id="rId355"/>
    <hyperlink ref="B330" r:id="rId356"/>
    <hyperlink ref="C330" r:id="rId357"/>
    <hyperlink ref="B331" r:id="rId358"/>
    <hyperlink ref="C332" r:id="rId359"/>
    <hyperlink ref="B333" r:id="rId360"/>
    <hyperlink ref="C333" r:id="rId361"/>
    <hyperlink ref="B334" r:id="rId362"/>
    <hyperlink ref="B335" r:id="rId363"/>
    <hyperlink ref="C335" r:id="rId364"/>
    <hyperlink ref="B336" r:id="rId365"/>
    <hyperlink ref="C336" r:id="rId366"/>
    <hyperlink ref="B337" r:id="rId367"/>
    <hyperlink ref="C337" r:id="rId368"/>
    <hyperlink ref="B338" r:id="rId369"/>
    <hyperlink ref="C338" r:id="rId370"/>
    <hyperlink ref="B339" r:id="rId371"/>
    <hyperlink ref="B340" r:id="rId372"/>
    <hyperlink ref="C340" r:id="rId373"/>
    <hyperlink ref="C341" r:id="rId374"/>
    <hyperlink ref="B342" r:id="rId375"/>
    <hyperlink ref="B343" r:id="rId376"/>
    <hyperlink ref="C343" r:id="rId377"/>
    <hyperlink ref="B344" r:id="rId378"/>
    <hyperlink ref="C344" r:id="rId379"/>
    <hyperlink ref="B345" r:id="rId380"/>
    <hyperlink ref="C345" r:id="rId381"/>
    <hyperlink ref="B346" r:id="rId382"/>
    <hyperlink ref="C346" r:id="rId383"/>
    <hyperlink ref="B347" r:id="rId384"/>
    <hyperlink ref="C347" r:id="rId385"/>
    <hyperlink ref="B348" r:id="rId386"/>
    <hyperlink ref="C348" r:id="rId387"/>
    <hyperlink ref="C349" r:id="rId388"/>
    <hyperlink ref="B350" r:id="rId389"/>
    <hyperlink ref="C350" r:id="rId390"/>
    <hyperlink ref="B351" r:id="rId391"/>
    <hyperlink ref="C351" r:id="rId392"/>
    <hyperlink ref="B352" r:id="rId393"/>
    <hyperlink ref="C352" r:id="rId394"/>
    <hyperlink ref="B353" r:id="rId395"/>
    <hyperlink ref="C353" r:id="rId396"/>
    <hyperlink ref="B354" r:id="rId397"/>
    <hyperlink ref="C354" r:id="rId398"/>
    <hyperlink ref="B355" r:id="rId399"/>
    <hyperlink ref="C355" r:id="rId400"/>
    <hyperlink ref="B356" r:id="rId401"/>
    <hyperlink ref="C356" r:id="rId402"/>
    <hyperlink ref="B357" r:id="rId403"/>
    <hyperlink ref="C357" r:id="rId404"/>
    <hyperlink ref="B358" r:id="rId405"/>
    <hyperlink ref="C358" r:id="rId406"/>
    <hyperlink ref="B359" r:id="rId407"/>
    <hyperlink ref="C359" r:id="rId408"/>
    <hyperlink ref="B360" r:id="rId409"/>
    <hyperlink ref="C360" r:id="rId410"/>
    <hyperlink ref="B362" r:id="rId411"/>
    <hyperlink ref="C362" r:id="rId412"/>
    <hyperlink ref="B363" r:id="rId413"/>
    <hyperlink ref="B364" r:id="rId414"/>
    <hyperlink ref="B365" r:id="rId415"/>
    <hyperlink ref="C365" r:id="rId416"/>
    <hyperlink ref="B366" r:id="rId417"/>
    <hyperlink ref="C366" r:id="rId418"/>
    <hyperlink ref="C367" r:id="rId419"/>
    <hyperlink ref="B368" r:id="rId420"/>
    <hyperlink ref="C368" r:id="rId421"/>
    <hyperlink ref="B369" r:id="rId422"/>
    <hyperlink ref="C369" r:id="rId423"/>
    <hyperlink ref="B370" r:id="rId424"/>
    <hyperlink ref="C370" r:id="rId425"/>
    <hyperlink ref="B371" r:id="rId426"/>
    <hyperlink ref="C371" r:id="rId427"/>
    <hyperlink ref="B372" r:id="rId428"/>
    <hyperlink ref="C372" r:id="rId429"/>
    <hyperlink ref="B373" r:id="rId430"/>
    <hyperlink ref="C373" r:id="rId431"/>
    <hyperlink ref="B374" r:id="rId432"/>
    <hyperlink ref="C374" r:id="rId433"/>
    <hyperlink ref="B375" r:id="rId434"/>
    <hyperlink ref="C375" r:id="rId435"/>
    <hyperlink ref="B376" r:id="rId436"/>
    <hyperlink ref="C376" r:id="rId437"/>
    <hyperlink ref="B377" r:id="rId438"/>
    <hyperlink ref="C377" r:id="rId439"/>
    <hyperlink ref="B378" r:id="rId440"/>
    <hyperlink ref="C378" r:id="rId441"/>
    <hyperlink ref="B379" r:id="rId442"/>
    <hyperlink ref="C379" r:id="rId443"/>
    <hyperlink ref="B380" r:id="rId444"/>
    <hyperlink ref="C380" r:id="rId445"/>
    <hyperlink ref="C381" r:id="rId446"/>
    <hyperlink ref="B382" r:id="rId447"/>
    <hyperlink ref="C382" r:id="rId448"/>
    <hyperlink ref="B383" r:id="rId449"/>
    <hyperlink ref="C383" r:id="rId450"/>
    <hyperlink ref="B384" r:id="rId451"/>
    <hyperlink ref="C384" r:id="rId452"/>
    <hyperlink ref="B385" r:id="rId453"/>
    <hyperlink ref="C385" r:id="rId454"/>
    <hyperlink ref="B386" r:id="rId455"/>
    <hyperlink ref="C386" r:id="rId456"/>
    <hyperlink ref="B387" r:id="rId457"/>
    <hyperlink ref="C387" r:id="rId458"/>
    <hyperlink ref="C389" r:id="rId459"/>
    <hyperlink ref="B392" r:id="rId460"/>
    <hyperlink ref="C392" r:id="rId461"/>
    <hyperlink ref="B393" r:id="rId462"/>
    <hyperlink ref="C393" r:id="rId463"/>
    <hyperlink ref="B394" r:id="rId464"/>
    <hyperlink ref="C394" r:id="rId465"/>
    <hyperlink ref="B395" r:id="rId466"/>
    <hyperlink ref="C395" r:id="rId467"/>
    <hyperlink ref="B396" r:id="rId468"/>
    <hyperlink ref="C396" r:id="rId469"/>
    <hyperlink ref="B398" r:id="rId470"/>
    <hyperlink ref="C398" r:id="rId471"/>
    <hyperlink ref="B399" r:id="rId472"/>
    <hyperlink ref="C399" r:id="rId473"/>
    <hyperlink ref="B400" r:id="rId474"/>
    <hyperlink ref="C400" r:id="rId475"/>
    <hyperlink ref="B401" r:id="rId476"/>
    <hyperlink ref="C401" r:id="rId477"/>
    <hyperlink ref="B402" r:id="rId478"/>
    <hyperlink ref="C402" r:id="rId479"/>
    <hyperlink ref="B403" r:id="rId480"/>
    <hyperlink ref="C403" r:id="rId481"/>
    <hyperlink ref="B404" r:id="rId482"/>
    <hyperlink ref="C404" r:id="rId483"/>
    <hyperlink ref="B405" r:id="rId484"/>
    <hyperlink ref="C405" r:id="rId485"/>
    <hyperlink ref="C407" r:id="rId486"/>
    <hyperlink ref="B408" r:id="rId487"/>
    <hyperlink ref="C408" r:id="rId488"/>
    <hyperlink ref="B409" r:id="rId489"/>
    <hyperlink ref="B412" r:id="rId490"/>
    <hyperlink ref="C412" r:id="rId491"/>
    <hyperlink ref="B414" r:id="rId492"/>
    <hyperlink ref="C414" r:id="rId493"/>
    <hyperlink ref="B415" r:id="rId494"/>
    <hyperlink ref="B417" r:id="rId495"/>
    <hyperlink ref="C417" r:id="rId496"/>
    <hyperlink ref="B420" r:id="rId497"/>
    <hyperlink ref="C420" r:id="rId498"/>
    <hyperlink ref="B422" r:id="rId499"/>
    <hyperlink ref="B426" r:id="rId500"/>
    <hyperlink ref="C426" r:id="rId501"/>
    <hyperlink ref="B430" r:id="rId502"/>
    <hyperlink ref="C430" r:id="rId503"/>
    <hyperlink ref="B431" r:id="rId504"/>
    <hyperlink ref="C431" r:id="rId505"/>
    <hyperlink ref="B432" r:id="rId506"/>
    <hyperlink ref="C432" r:id="rId507"/>
    <hyperlink ref="B433" r:id="rId508"/>
    <hyperlink ref="C433" r:id="rId509"/>
    <hyperlink ref="B434" r:id="rId510"/>
    <hyperlink ref="C434" r:id="rId511"/>
    <hyperlink ref="B436" r:id="rId512"/>
    <hyperlink ref="B437" r:id="rId513"/>
    <hyperlink ref="C437" r:id="rId514"/>
    <hyperlink ref="B438" r:id="rId515"/>
    <hyperlink ref="C438" r:id="rId516"/>
    <hyperlink ref="B445" r:id="rId517"/>
    <hyperlink ref="C445" r:id="rId518"/>
    <hyperlink ref="B446" r:id="rId519"/>
    <hyperlink ref="C446" r:id="rId520"/>
    <hyperlink ref="B447" r:id="rId521"/>
    <hyperlink ref="C447" r:id="rId522"/>
    <hyperlink ref="B448" r:id="rId523"/>
    <hyperlink ref="C448" r:id="rId524"/>
    <hyperlink ref="B449" r:id="rId525"/>
    <hyperlink ref="B454" r:id="rId526"/>
    <hyperlink ref="C454" r:id="rId527"/>
    <hyperlink ref="B456" r:id="rId528"/>
    <hyperlink ref="C456" r:id="rId529"/>
    <hyperlink ref="B459" r:id="rId530"/>
    <hyperlink ref="C459" r:id="rId531"/>
    <hyperlink ref="B460" r:id="rId532"/>
    <hyperlink ref="C460" r:id="rId533"/>
    <hyperlink ref="B461" r:id="rId534"/>
    <hyperlink ref="C461" r:id="rId535"/>
    <hyperlink ref="B462" r:id="rId536"/>
    <hyperlink ref="C462" r:id="rId537"/>
    <hyperlink ref="B463" r:id="rId538"/>
    <hyperlink ref="C463" r:id="rId539"/>
    <hyperlink ref="B465" r:id="rId540"/>
    <hyperlink ref="C465" r:id="rId541"/>
    <hyperlink ref="B466" r:id="rId542"/>
    <hyperlink ref="C466" r:id="rId543"/>
    <hyperlink ref="B467" r:id="rId544"/>
    <hyperlink ref="C467" r:id="rId545"/>
    <hyperlink ref="C468" r:id="rId546"/>
    <hyperlink ref="C469" r:id="rId547"/>
    <hyperlink ref="B471" r:id="rId548"/>
    <hyperlink ref="C471" r:id="rId549"/>
    <hyperlink ref="C473" r:id="rId550"/>
    <hyperlink ref="B474" r:id="rId551"/>
    <hyperlink ref="C474" r:id="rId552"/>
    <hyperlink ref="C476" r:id="rId553"/>
    <hyperlink ref="B478" r:id="rId554"/>
    <hyperlink ref="C478" r:id="rId555"/>
    <hyperlink ref="B481" r:id="rId556"/>
    <hyperlink ref="C481" r:id="rId557"/>
    <hyperlink ref="B482" r:id="rId558"/>
    <hyperlink ref="C482" r:id="rId559"/>
    <hyperlink ref="B483" r:id="rId560"/>
    <hyperlink ref="C483" r:id="rId561"/>
    <hyperlink ref="B487" r:id="rId562"/>
    <hyperlink ref="C487" r:id="rId563"/>
    <hyperlink ref="B490" r:id="rId564"/>
    <hyperlink ref="C490" r:id="rId565"/>
    <hyperlink ref="B491" r:id="rId566"/>
    <hyperlink ref="C491" r:id="rId567"/>
    <hyperlink ref="C492" r:id="rId568"/>
    <hyperlink ref="B493" r:id="rId569"/>
    <hyperlink ref="C493" r:id="rId570"/>
    <hyperlink ref="B494" r:id="rId571"/>
    <hyperlink ref="C494" r:id="rId572"/>
    <hyperlink ref="B495" r:id="rId573"/>
    <hyperlink ref="C495" r:id="rId574"/>
    <hyperlink ref="B496" r:id="rId575"/>
    <hyperlink ref="B497" r:id="rId576"/>
    <hyperlink ref="C497" r:id="rId577"/>
    <hyperlink ref="B498" r:id="rId578"/>
    <hyperlink ref="C498" r:id="rId579"/>
    <hyperlink ref="B501" r:id="rId580"/>
    <hyperlink ref="C501" r:id="rId581"/>
    <hyperlink ref="B502" r:id="rId582"/>
    <hyperlink ref="C502" r:id="rId583"/>
    <hyperlink ref="B503" r:id="rId584"/>
    <hyperlink ref="C503" r:id="rId585"/>
    <hyperlink ref="B505" r:id="rId586"/>
    <hyperlink ref="C505" r:id="rId587" location="robertgiard"/>
    <hyperlink ref="C511" r:id="rId588"/>
  </hyperlinks>
  <pageMargins left="0.7" right="0.7" top="0.75" bottom="0.75" header="0.3" footer="0.3"/>
  <pageSetup orientation="portrait" horizontalDpi="1200" verticalDpi="1200" r:id="rId589"/>
  <tableParts count="1">
    <tablePart r:id="rId59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Steeves</dc:creator>
  <cp:lastModifiedBy>Administrator</cp:lastModifiedBy>
  <dcterms:created xsi:type="dcterms:W3CDTF">2018-03-09T19:18:36Z</dcterms:created>
  <dcterms:modified xsi:type="dcterms:W3CDTF">2018-03-09T19:18:36Z</dcterms:modified>
</cp:coreProperties>
</file>