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stitutional Support\IFRO Folder\Bi-Weekly Newsletter\"/>
    </mc:Choice>
  </mc:AlternateContent>
  <bookViews>
    <workbookView xWindow="0" yWindow="0" windowWidth="21660" windowHeight="10530"/>
  </bookViews>
  <sheets>
    <sheet name="opportunities" sheetId="1" r:id="rId1"/>
  </sheets>
  <definedNames>
    <definedName name="_xlnm._FilterDatabase" localSheetId="0" hidden="1">opportunities!$A$1:$I$282</definedName>
    <definedName name="Z_23D72F9D_0FD4_4BDC_B1D2_50A4B3F54EA7_.wvu.FilterData" localSheetId="0" hidden="1">opportunities!$A$1:$I$282</definedName>
    <definedName name="Z_D8DCAEDF_4C9D_45D6_96DE_F434942C3B9C_.wvu.FilterData" localSheetId="0" hidden="1">opportunities!$E$1:$E$282</definedName>
  </definedNames>
  <calcPr calcId="152511"/>
  <customWorkbookViews>
    <customWorkbookView name="Filter 2" guid="{23D72F9D-0FD4-4BDC-B1D2-50A4B3F54EA7}" maximized="1" windowWidth="0" windowHeight="0" activeSheetId="0"/>
    <customWorkbookView name="Filter 1" guid="{D8DCAEDF-4C9D-45D6-96DE-F434942C3B9C}" maximized="1" windowWidth="0" windowHeight="0" activeSheetId="0"/>
  </customWorkbookViews>
</workbook>
</file>

<file path=xl/calcChain.xml><?xml version="1.0" encoding="utf-8"?>
<calcChain xmlns="http://schemas.openxmlformats.org/spreadsheetml/2006/main">
  <c r="B232" i="1" l="1"/>
  <c r="D212" i="1"/>
  <c r="D208" i="1"/>
  <c r="B208" i="1"/>
  <c r="B207" i="1"/>
  <c r="D207" i="1"/>
  <c r="D129" i="1"/>
  <c r="B129" i="1"/>
  <c r="D277" i="1"/>
  <c r="B277" i="1"/>
  <c r="D185" i="1"/>
  <c r="B185" i="1"/>
  <c r="D243" i="1"/>
  <c r="D237" i="1"/>
  <c r="B237" i="1"/>
  <c r="B42" i="1"/>
  <c r="D128" i="1"/>
  <c r="B128" i="1"/>
  <c r="D184" i="1"/>
  <c r="B184" i="1"/>
  <c r="D9" i="1"/>
  <c r="B9" i="1"/>
  <c r="D227" i="1"/>
  <c r="B227" i="1"/>
  <c r="B183" i="1"/>
  <c r="D182" i="1"/>
  <c r="B182" i="1"/>
  <c r="D203" i="1"/>
  <c r="B203" i="1"/>
  <c r="B181" i="1"/>
  <c r="D180" i="1"/>
  <c r="B180" i="1"/>
  <c r="D127" i="1"/>
  <c r="B127" i="1"/>
  <c r="D179" i="1"/>
  <c r="B179" i="1"/>
  <c r="D244" i="1"/>
  <c r="B244" i="1"/>
  <c r="D178" i="1"/>
  <c r="B178" i="1"/>
  <c r="D86" i="1"/>
  <c r="B86" i="1"/>
  <c r="D126" i="1"/>
  <c r="B126" i="1"/>
  <c r="D51" i="1"/>
  <c r="B51" i="1"/>
  <c r="D77" i="1"/>
  <c r="B77" i="1"/>
  <c r="D281" i="1"/>
  <c r="B281" i="1"/>
  <c r="B37" i="1"/>
  <c r="D213" i="1"/>
  <c r="B213" i="1"/>
  <c r="D177" i="1"/>
  <c r="B177" i="1"/>
  <c r="D276" i="1"/>
  <c r="B276" i="1"/>
  <c r="B275" i="1"/>
  <c r="D125" i="1"/>
  <c r="B125" i="1"/>
  <c r="D124" i="1"/>
  <c r="B124" i="1"/>
  <c r="D75" i="1"/>
  <c r="B75" i="1"/>
  <c r="D74" i="1"/>
  <c r="B74" i="1"/>
  <c r="D242" i="1"/>
  <c r="B242" i="1"/>
  <c r="B280" i="1"/>
  <c r="D263" i="1"/>
  <c r="B263" i="1"/>
  <c r="D123" i="1"/>
  <c r="B123" i="1"/>
  <c r="B175" i="1"/>
  <c r="D82" i="1"/>
  <c r="B82" i="1"/>
  <c r="B173" i="1"/>
  <c r="D76" i="1"/>
  <c r="B76" i="1"/>
  <c r="D2" i="1"/>
  <c r="B2" i="1"/>
  <c r="D85" i="1"/>
  <c r="B85" i="1"/>
  <c r="D268" i="1"/>
  <c r="B268" i="1"/>
  <c r="D172" i="1"/>
  <c r="B172" i="1"/>
  <c r="B20" i="1"/>
  <c r="B212" i="1"/>
  <c r="D171" i="1"/>
  <c r="B171" i="1"/>
  <c r="B19" i="1"/>
  <c r="B170" i="1"/>
  <c r="D202" i="1"/>
  <c r="B202" i="1"/>
  <c r="D36" i="1"/>
  <c r="B36" i="1"/>
  <c r="D241" i="1"/>
  <c r="B241" i="1"/>
  <c r="D228" i="1"/>
  <c r="B228" i="1"/>
  <c r="D169" i="1"/>
  <c r="B169" i="1"/>
  <c r="D73" i="1"/>
  <c r="B73" i="1"/>
  <c r="B72" i="1"/>
  <c r="D122" i="1"/>
  <c r="B122" i="1"/>
  <c r="D168" i="1"/>
  <c r="B168" i="1"/>
  <c r="B188" i="1"/>
  <c r="B167" i="1"/>
  <c r="B261" i="1"/>
  <c r="D166" i="1"/>
  <c r="B166" i="1"/>
  <c r="D49" i="1"/>
  <c r="B49" i="1"/>
  <c r="D35" i="1"/>
  <c r="B35" i="1"/>
  <c r="D251" i="1"/>
  <c r="B251" i="1"/>
  <c r="D48" i="1"/>
  <c r="B48" i="1"/>
  <c r="D132" i="1"/>
  <c r="B132" i="1"/>
  <c r="D201" i="1"/>
  <c r="B201" i="1"/>
  <c r="D121" i="1"/>
  <c r="B121" i="1"/>
  <c r="D211" i="1"/>
  <c r="B211" i="1"/>
  <c r="D165" i="1"/>
  <c r="B165" i="1"/>
  <c r="D164" i="1"/>
  <c r="B164" i="1"/>
  <c r="D71" i="1"/>
  <c r="B71" i="1"/>
  <c r="D163" i="1"/>
  <c r="B163" i="1"/>
  <c r="B262" i="1"/>
  <c r="D274" i="1"/>
  <c r="B274" i="1"/>
  <c r="D162" i="1"/>
  <c r="B162" i="1"/>
  <c r="D200" i="1"/>
  <c r="B200" i="1"/>
  <c r="D161" i="1"/>
  <c r="B161" i="1"/>
  <c r="D120" i="1"/>
  <c r="B120" i="1"/>
  <c r="B273" i="1"/>
  <c r="B264" i="1"/>
  <c r="D81" i="1"/>
  <c r="B81" i="1"/>
  <c r="D70" i="1"/>
  <c r="B70" i="1"/>
  <c r="D160" i="1"/>
  <c r="B160" i="1"/>
  <c r="B119" i="1"/>
  <c r="D47" i="1"/>
  <c r="B47" i="1"/>
  <c r="B159" i="1"/>
  <c r="D158" i="1"/>
  <c r="B158" i="1"/>
  <c r="B69" i="1"/>
  <c r="D18" i="1"/>
  <c r="B18" i="1"/>
  <c r="D68" i="1"/>
  <c r="B68" i="1"/>
  <c r="D260" i="1"/>
  <c r="B260" i="1"/>
  <c r="D279" i="1"/>
  <c r="B279" i="1"/>
  <c r="D218" i="1"/>
  <c r="B218" i="1"/>
  <c r="D118" i="1"/>
  <c r="B118" i="1"/>
  <c r="D117" i="1"/>
  <c r="B117" i="1"/>
  <c r="B199" i="1"/>
  <c r="D46" i="1"/>
  <c r="B46" i="1"/>
  <c r="D217" i="1"/>
  <c r="B217" i="1"/>
  <c r="D67" i="1"/>
  <c r="B67" i="1"/>
  <c r="D66" i="1"/>
  <c r="B66" i="1"/>
  <c r="D40" i="1"/>
  <c r="B40" i="1"/>
  <c r="B34" i="1"/>
  <c r="D116" i="1"/>
  <c r="B116" i="1"/>
  <c r="D115" i="1"/>
  <c r="B115" i="1"/>
  <c r="B114" i="1"/>
  <c r="D230" i="1"/>
  <c r="B230" i="1"/>
  <c r="D157" i="1"/>
  <c r="B157" i="1"/>
  <c r="D156" i="1"/>
  <c r="B156" i="1"/>
  <c r="D216" i="1"/>
  <c r="B216" i="1"/>
  <c r="B236" i="1"/>
  <c r="D155" i="1"/>
  <c r="B155" i="1"/>
  <c r="D272" i="1"/>
  <c r="B272" i="1"/>
  <c r="D113" i="1"/>
  <c r="B113" i="1"/>
  <c r="D198" i="1"/>
  <c r="B198" i="1"/>
  <c r="D78" i="1"/>
  <c r="B78" i="1"/>
  <c r="D33" i="1"/>
  <c r="B33" i="1"/>
  <c r="D226" i="1"/>
  <c r="B226" i="1"/>
  <c r="D219" i="1"/>
  <c r="B219" i="1"/>
  <c r="D282" i="1"/>
  <c r="B282" i="1"/>
  <c r="D154" i="1"/>
  <c r="B154" i="1"/>
  <c r="D32" i="1"/>
  <c r="B32" i="1"/>
  <c r="B112" i="1"/>
  <c r="D111" i="1"/>
  <c r="B111" i="1"/>
  <c r="D265" i="1"/>
  <c r="B265" i="1"/>
  <c r="D23" i="1"/>
  <c r="B23" i="1"/>
  <c r="D110" i="1"/>
  <c r="B110" i="1"/>
  <c r="D84" i="1"/>
  <c r="B84" i="1"/>
  <c r="D190" i="1"/>
  <c r="B190" i="1"/>
  <c r="D17" i="1"/>
  <c r="B17" i="1"/>
  <c r="B187" i="1"/>
  <c r="B195" i="1"/>
  <c r="D109" i="1"/>
  <c r="B109" i="1"/>
  <c r="B153" i="1"/>
  <c r="D197" i="1"/>
  <c r="B197" i="1"/>
  <c r="B31" i="1"/>
  <c r="D206" i="1"/>
  <c r="B206" i="1"/>
  <c r="D225" i="1"/>
  <c r="B225" i="1"/>
  <c r="B250" i="1"/>
  <c r="D224" i="1"/>
  <c r="B224" i="1"/>
  <c r="D152" i="1"/>
  <c r="B152" i="1"/>
  <c r="D65" i="1"/>
  <c r="B65" i="1"/>
  <c r="D64" i="1"/>
  <c r="B64" i="1"/>
  <c r="D30" i="1"/>
  <c r="B30" i="1"/>
  <c r="B108" i="1"/>
  <c r="D107" i="1"/>
  <c r="B107" i="1"/>
  <c r="D252" i="1"/>
  <c r="B252" i="1"/>
  <c r="B210" i="1"/>
  <c r="D63" i="1"/>
  <c r="B63" i="1"/>
  <c r="D29" i="1"/>
  <c r="B29" i="1"/>
  <c r="D194" i="1"/>
  <c r="B194" i="1"/>
  <c r="D151" i="1"/>
  <c r="B151" i="1"/>
  <c r="D235" i="1"/>
  <c r="B235" i="1"/>
  <c r="D223" i="1"/>
  <c r="B223" i="1"/>
  <c r="B106" i="1"/>
  <c r="D45" i="1"/>
  <c r="B45" i="1"/>
  <c r="B254" i="1"/>
  <c r="D44" i="1"/>
  <c r="B44" i="1"/>
  <c r="B246" i="1"/>
  <c r="D150" i="1"/>
  <c r="B150" i="1"/>
  <c r="D39" i="1"/>
  <c r="B39" i="1"/>
  <c r="D8" i="1"/>
  <c r="B8" i="1"/>
  <c r="B105" i="1"/>
  <c r="B62" i="1"/>
  <c r="B104" i="1"/>
  <c r="D215" i="1"/>
  <c r="B215" i="1"/>
  <c r="B61" i="1"/>
  <c r="B103" i="1"/>
  <c r="D193" i="1"/>
  <c r="B193" i="1"/>
  <c r="D60" i="1"/>
  <c r="B60" i="1"/>
  <c r="D59" i="1"/>
  <c r="B59" i="1"/>
  <c r="D102" i="1"/>
  <c r="B102" i="1"/>
  <c r="B58" i="1"/>
  <c r="D28" i="1"/>
  <c r="B28" i="1"/>
  <c r="D22" i="1"/>
  <c r="B22" i="1"/>
  <c r="B149" i="1"/>
  <c r="D101" i="1"/>
  <c r="B101" i="1"/>
  <c r="D57" i="1"/>
  <c r="B57" i="1"/>
  <c r="D100" i="1"/>
  <c r="B100" i="1"/>
  <c r="B234" i="1"/>
  <c r="D245" i="1"/>
  <c r="B245" i="1"/>
  <c r="B148" i="1"/>
  <c r="D176" i="1"/>
  <c r="B176" i="1"/>
  <c r="B259" i="1"/>
  <c r="B147" i="1"/>
  <c r="D16" i="1"/>
  <c r="B16" i="1"/>
  <c r="D131" i="1"/>
  <c r="B131" i="1"/>
  <c r="D278" i="1"/>
  <c r="B278" i="1"/>
  <c r="B249" i="1"/>
  <c r="D238" i="1"/>
  <c r="B238" i="1"/>
  <c r="D214" i="1"/>
  <c r="B214" i="1"/>
  <c r="D146" i="1"/>
  <c r="B146" i="1"/>
  <c r="D192" i="1"/>
  <c r="B192" i="1"/>
  <c r="D80" i="1"/>
  <c r="B80" i="1"/>
  <c r="D56" i="1"/>
  <c r="B56" i="1"/>
  <c r="D27" i="1"/>
  <c r="B27" i="1"/>
  <c r="D99" i="1"/>
  <c r="B99" i="1"/>
  <c r="D98" i="1"/>
  <c r="B98" i="1"/>
  <c r="B97" i="1"/>
  <c r="D233" i="1"/>
  <c r="B233" i="1"/>
  <c r="D174" i="1"/>
  <c r="B174" i="1"/>
  <c r="D145" i="1"/>
  <c r="B145" i="1"/>
  <c r="D204" i="1"/>
  <c r="B204" i="1"/>
  <c r="B21" i="1"/>
  <c r="B258" i="1"/>
  <c r="D222" i="1"/>
  <c r="B222" i="1"/>
  <c r="D15" i="1"/>
  <c r="B15" i="1"/>
  <c r="D144" i="1"/>
  <c r="B144" i="1"/>
  <c r="D143" i="1"/>
  <c r="B143" i="1"/>
  <c r="D83" i="1"/>
  <c r="B83" i="1"/>
  <c r="D38" i="1"/>
  <c r="B38" i="1"/>
  <c r="D142" i="1"/>
  <c r="B142" i="1"/>
  <c r="D96" i="1"/>
  <c r="B96" i="1"/>
  <c r="D257" i="1"/>
  <c r="B257" i="1"/>
  <c r="D54" i="1"/>
  <c r="B54" i="1"/>
  <c r="D43" i="1"/>
  <c r="B43" i="1"/>
  <c r="D41" i="1"/>
  <c r="B41" i="1"/>
  <c r="B14" i="1"/>
  <c r="B13" i="1"/>
  <c r="B271" i="1"/>
  <c r="D26" i="1"/>
  <c r="B26" i="1"/>
  <c r="D53" i="1"/>
  <c r="B53" i="1"/>
  <c r="D256" i="1"/>
  <c r="B256" i="1"/>
  <c r="B141" i="1"/>
  <c r="B140" i="1"/>
  <c r="B95" i="1"/>
  <c r="D209" i="1"/>
  <c r="B209" i="1"/>
  <c r="B255" i="1"/>
  <c r="D25" i="1"/>
  <c r="B25" i="1"/>
  <c r="D94" i="1"/>
  <c r="B94" i="1"/>
  <c r="D191" i="1"/>
  <c r="B191" i="1"/>
  <c r="D79" i="1"/>
  <c r="B79" i="1"/>
  <c r="D93" i="1"/>
  <c r="B93" i="1"/>
  <c r="D248" i="1"/>
  <c r="B248" i="1"/>
  <c r="D247" i="1"/>
  <c r="B247" i="1"/>
  <c r="D92" i="1"/>
  <c r="B92" i="1"/>
  <c r="D139" i="1"/>
  <c r="B139" i="1"/>
  <c r="B138" i="1"/>
  <c r="D196" i="1"/>
  <c r="B196" i="1"/>
  <c r="B137" i="1"/>
  <c r="B231" i="1"/>
  <c r="D221" i="1"/>
  <c r="B221" i="1"/>
  <c r="B130" i="1"/>
  <c r="D12" i="1"/>
  <c r="B12" i="1"/>
  <c r="D90" i="1"/>
  <c r="B90" i="1"/>
  <c r="D11" i="1"/>
  <c r="B11" i="1"/>
  <c r="D91" i="1"/>
  <c r="B91" i="1"/>
  <c r="B186" i="1"/>
  <c r="D240" i="1"/>
  <c r="B240" i="1"/>
  <c r="D270" i="1"/>
  <c r="B270" i="1"/>
  <c r="B89" i="1"/>
  <c r="D267" i="1"/>
  <c r="B267" i="1"/>
  <c r="D220" i="1"/>
  <c r="B220" i="1"/>
  <c r="D24" i="1"/>
  <c r="B24" i="1"/>
  <c r="B136" i="1"/>
  <c r="D239" i="1"/>
  <c r="B239" i="1"/>
  <c r="D269" i="1"/>
  <c r="B269" i="1"/>
  <c r="B253" i="1"/>
  <c r="B88" i="1"/>
  <c r="D135" i="1"/>
  <c r="B135" i="1"/>
  <c r="D87" i="1"/>
  <c r="B87" i="1"/>
  <c r="B10" i="1"/>
  <c r="D50" i="1"/>
  <c r="B50" i="1"/>
  <c r="D266" i="1"/>
  <c r="B266" i="1"/>
  <c r="D189" i="1"/>
  <c r="B189" i="1"/>
  <c r="D52" i="1"/>
  <c r="B52" i="1"/>
  <c r="D134" i="1"/>
  <c r="B134" i="1"/>
  <c r="D205" i="1"/>
  <c r="B205" i="1"/>
  <c r="D133" i="1"/>
  <c r="B133" i="1"/>
</calcChain>
</file>

<file path=xl/sharedStrings.xml><?xml version="1.0" encoding="utf-8"?>
<sst xmlns="http://schemas.openxmlformats.org/spreadsheetml/2006/main" count="1450" uniqueCount="619">
  <si>
    <t>Due date</t>
  </si>
  <si>
    <t>Sponsor</t>
  </si>
  <si>
    <t xml:space="preserve">Program </t>
  </si>
  <si>
    <t>Department</t>
  </si>
  <si>
    <t>Type</t>
  </si>
  <si>
    <t>Stage of career
(if specified)</t>
  </si>
  <si>
    <t>Funding range 
(if specified)</t>
  </si>
  <si>
    <t>Notes and description</t>
  </si>
  <si>
    <t>high ed</t>
  </si>
  <si>
    <t>up to £33,000 (~$42,000)</t>
  </si>
  <si>
    <t>No new DEADLINE as of 3.5.19
"These fellowships are available to academics based in any country overseas; they will allow researchers to work with colleagues at UK host institutions in order to develop new research collaborations and/or deepen existing partnerships."</t>
  </si>
  <si>
    <t>Language and Area Studies
Africa</t>
  </si>
  <si>
    <t>Fellowship on site</t>
  </si>
  <si>
    <t>6 months of support</t>
  </si>
  <si>
    <t>No new DEADLINE as of 3.5.19
The aim of the fellowships is to enable visiting academics to spend six months calendar months between October and March focusing on their research and writing, whilst based at the Centre of African Studies in Cambridge.</t>
  </si>
  <si>
    <t>fdn</t>
  </si>
  <si>
    <t>Arts &amp; Humanities</t>
  </si>
  <si>
    <t>up to $30,000</t>
  </si>
  <si>
    <t>General</t>
  </si>
  <si>
    <t>gov</t>
  </si>
  <si>
    <t>Sciences</t>
  </si>
  <si>
    <t>A&amp;H
History</t>
  </si>
  <si>
    <t>varies</t>
  </si>
  <si>
    <t>CHECK BACK FALL 2019
"The IHR is a working and meeting place for historians from all over the world and houses two major research centres – the Victoria County History and the Centre for Metropolitan History.  "</t>
  </si>
  <si>
    <t>General
Race studies</t>
  </si>
  <si>
    <t>Fellowship</t>
  </si>
  <si>
    <t>No new DEADLINE as of 3.5.19
"The W.E.B. Du Bois Fellowship places particular emphasis on crime, violence and the administration of justice in diverse cultural contexts within the United States."
"This W.E.B. Du Bois Program furthers the Department’s mission by advancing knowledge regarding the confluence of crime, justice, and culture in various societal contexts. This year NIJ is growing the W.E.B. Du Bois Program to fund both scholars who are advanced in their careers and seek to conduct research which advances the study of race and crime, as well as fellows who are early in their careers and seek the opportunity to elevate their research ideas to the level of national discussion."</t>
  </si>
  <si>
    <t>Social Science
Political Science</t>
  </si>
  <si>
    <t>On hold?
"NIJ's Visiting Fellows Program brings experienced practitioners, policymakers, and — in exceptional circumstances — researchers into residency at NIJ to make important policy and scholarly contributions with practical application to the criminal justice field and to infuse research into policy and practice.
Fellows also work with NIJ leadership, staff, NIJ partners, and criminal justice practitioners to help shape the direction of NIJ’s relevant programs and ensure portfolios respond to the priority needs of the field."</t>
  </si>
  <si>
    <t>other</t>
  </si>
  <si>
    <t>A&amp;H
Dance</t>
  </si>
  <si>
    <t>No new DEADLINE as of 3.5.19
"In honor of the centenary of Jerome Robbins in 2018, the focus of this fellowship cycle will be the Jerome Robbins papers (S) *MGZMD 130 and the Jerome Robbins personal papers (S) *MGZMD 182, as well as the many resources related to Robbins within the Library, such as the video and audio materials he donated. We are particularly interested in proposals that will uncover new aspects of Jerome Robbins’ legacy including, but not limited to, his photography, artwork and writing, as well as his overall contribution to dance."</t>
  </si>
  <si>
    <t>Fellowships</t>
  </si>
  <si>
    <t>A&amp;H
Art History</t>
  </si>
  <si>
    <t>No new DEADLINE as of 3.5.19
"The Georgia O’Keeffe Museum offers a variety of fellowships that foster research, exploration, and dialogue. It strives to provide a supportive environment for the pursuit of furthering knowledge and collaboration.
Fellowships in the following three categories will be available for the 2018 calendar year – Academic, Museum Studies, Research, and Collections. Up to two fellows in each category may be selected."</t>
  </si>
  <si>
    <t>$3,000 AUD</t>
  </si>
  <si>
    <t>No new DEADLINE as of 3.5.19
"As a core part of its mission, throughout the year the HRC welcomes several visiting fellows from around the world pursuing research projects in the Humanities. The HRC interprets the ‘Humanities’ generously. As well as supporting scholarship in traditional Humanities disciplines, its visiting fellowship programs encourage and support interdisciplinary and comparative research both within and beyond the Humanities. As members of the scholarly community at the HRC, visiting fellows make valuable contributions to its intellectual life, and to the intellectual life of the broader university community.
Each year, a theme is chosen which inspires and informs research activity within the HRC."</t>
  </si>
  <si>
    <t>No new DEADLINE as of 3.5.19
"The Martin Duberman Visiting Scholar program at The New York Public Library fosters excellence in LGBT studies by providing funds for scholars to do research in the Library’s preeminent LGBT historical collections. The fellowship is open to both academic faculty and independent scholars who have made a significant contribution to the field.... The awardee will be expected to spend a minimum of three months researching at the Library and at other archives relevant to their topic in the New York City area, to give a public talk on their work, and to write a short piece about their project for the Library’s website."</t>
  </si>
  <si>
    <t>East-West: The Art of Dialogue Fellowship</t>
  </si>
  <si>
    <t>Fellowship travel</t>
  </si>
  <si>
    <t>Early career
24-35yo</t>
  </si>
  <si>
    <t>No new DEADLINE as of 3.5.19
"The East-West: The Art of Dialogue initiative organises an annual exchange program, the Gabr Fellowship, for young emerging leaders from the East and the West to join forces to develop and implement projects addressing critical issues in their countries....
Each year, the Fellowship consists of 22-24 Fellows with approximately 10 Americans and 10 Egyptians, of which half are men and half are women.... Program participants spend two weeks in Egypt, followed by a further two weeks in the U.S., building enduring connections through hands-on activities, rigorous discussions, web-based interaction and most importantly, their own collaborative ‘action projects’."</t>
  </si>
  <si>
    <t>Erikson Scholar Program</t>
  </si>
  <si>
    <t>Sciences
Psychology and Neuroscience</t>
  </si>
  <si>
    <t>stipend, housing</t>
  </si>
  <si>
    <t>"This endowed scholar-in-residence program brings scholars to the Center to carry out their research projects in conversation with the clinical staff.  Scholars are selected both for the centrality of their theme to the work of the staff and for the potential of that work to enrich and be enriched by interaction with the clinical program.  Academicians, clinicians, and other professionals are invited into the clinical and intellectual life of the Center through participation in seminars, lectures, case discussions and other interdisciplinary activities, including the Erikson Institute-Williams College Study Group and Interdisciplinary Forums. 
In addition to mental health professionals, academicians in the fields of anthropology, history, law, literary criticism, political science, sociology and other relevant disciplines are encouraged to apply. Generally, scholars are in residence at the Center for a period of fourteen weeks.  The position includes a stipend, housing (pet and smoke-free), administrative support, and use of the Center’s library."</t>
  </si>
  <si>
    <t>org</t>
  </si>
  <si>
    <t>Social Sciences</t>
  </si>
  <si>
    <t>No new DEADLINE as of 3.6.19
"The Smith Richardson Foundation sponsors an annual Strategy and Policy Fellows grant competition to support young scholars and policy thinkers on American foreign policy, international relations, international security, military policy, and diplomatic and military history. The purpose of the program is to strengthen the U.S. community of scholars and researchers conducting policy analysis in these fields."</t>
  </si>
  <si>
    <t>Sciences
Biology and Earth Science</t>
  </si>
  <si>
    <t>&lt;2 years postdoc</t>
  </si>
  <si>
    <t>$62,000, &lt;$10,000 for health insurance, &lt;$10,000 for research costs</t>
  </si>
  <si>
    <t>No new DEADLINE 3.6.19
"The Simons Foundation invites applications for postdoctoral fellowships to support research on fundamental problems in marine microbial ecology. The foundation is particularly interested in applicants with training in different fields who want to apply their experience to understanding the role of microorganisms in shaping ocean processes and vice versa, as well as applicants with experience in modeling or theory development. While these cross-disciplinary applicants will receive particular attention, applicants already involved in ocean research are also encouraged to apply."</t>
  </si>
  <si>
    <t>Distinguished Fellows Grants</t>
  </si>
  <si>
    <t>A&amp;H
Creative Arts</t>
  </si>
  <si>
    <t>Early career</t>
  </si>
  <si>
    <t>Lifetime</t>
  </si>
  <si>
    <t>Fdn</t>
  </si>
  <si>
    <t>Language and Area Studies
Middle East</t>
  </si>
  <si>
    <t>travel and up to two weeks lodging at NCSU</t>
  </si>
  <si>
    <t>"Visiting Scholar Grants provide funding for researchers working on early Arab diaspora and migration to work at the Khayrallah Center for a period of 1 to 2 weeks. Researchers will have access to resources available at the Khayrallah Center’s archive."</t>
  </si>
  <si>
    <t>At the University of Sao Paulo (USP), main campus, "[t]each graduate and undergraduate courses, develop collaborative research with faculty and, subject to agreement of the academic committees of the Institute of International Relations at USP, teach courses and/or advanced seminars in topics to be defined.
In addition to being a prestigious academic exchange program, the Fulbright Program is designed to expand and strengthen relationships between the people of the United States and citizens of other nations and to promote international understanding and cooperation. To support this mission, Fulbright Scholars will be asked to give public talks, mentor students, and otherwise engage with the host community, in addition to their primary research or teaching activities‎."</t>
  </si>
  <si>
    <t>A&amp;H
Philosophy &amp; Religion</t>
  </si>
  <si>
    <t>Postdoc</t>
  </si>
  <si>
    <t>re:work</t>
  </si>
  <si>
    <t>monthly stipend negotiable</t>
  </si>
  <si>
    <t>DEADLINE = "Usually the applications are due in Berlin by the end of August. The selection results are announced a few months later, in November/December. Accordingly, the call for fellowships for the academic year 2018/2019 will be published in July 2017."
"Every year the International Research Centre ‘Work and Human Lifecycle in Global History’ at Humboldt University in Berlin (re:work) invites senior scholars and postdoctoral candidates to apply for 10 to 15 international research fellowships for the duration of the following academic year. The fellowships begin on 1 October and end on 31 July (shorter fellowship terms are negotiable). The fellowships require the researchers’ presence at the centre."</t>
  </si>
  <si>
    <t>between 3 and 12 months of “full time support”</t>
  </si>
  <si>
    <t>NOT CURRENTLY ACCEPTING APPLICATIONS
"Applicants are invited to submit proposals for research in the social sciences and related disciplines relevant to any one or any combination of the four themes below. The themes are:
1) Threats to Personal, Societal, and International Security
Especially welcome topics include food, water, and energy insecurity; pandemics; climate change; disaster preparedness, prevention, and recovery; and conflict, terrorism, and cyber security. 
2) Growth and Sustainable Development
Especially welcome topics include global financial stability, trade imbalances and agreements, adjustment to globalization, climate change and adaptation, and poverty and inequality.
3) Social, Scientific, and Cultural Trends and Transformations
Especially welcome topics include aging and other demographic change, benefits and dangers of reproductive genetics, gender and social exclusion, expansion of STEM education among women and under-represented populations, migration, rural depopulation and urbanization, impacts of automation on jobs, poverty and inequality, and community resilience.
4) Governance, Empowerment, and Participation
Especially welcome topics include challenges to democratic institutions, participatory governance, human rights, the changing role of NGO/NPOs, the rise of new media, and government roles in fostering innovation....
Rather than seeking to promote greater understanding of a single country—Japan or the United States—the Abe Fellowship Program encourages research with a comparative or global perspective. The program promotes deeply contextualized cross-cultural research."</t>
  </si>
  <si>
    <t>Library Science</t>
  </si>
  <si>
    <t>Sciences
Mathematics and Physics</t>
  </si>
  <si>
    <t>early career</t>
  </si>
  <si>
    <t>"The Conservancy has established the NatureNet Science Fellows Program in partnership with a rotating set of the world’s leading universities to create a reservoir of new interdisciplinary science talent that will carry out the new work of conservation. Fellows and grantees will work with a Nature Conservancy mentor and a hosting senior scholar (or scholars) to develop a research program. This joint mentorship model allows for fellows and grantees to take fundamental research questions and the traditional support provided by universities and embed themselves in the practice of applied conservation through TNC networks. Within this framework, the NatureNet program goals are to:
Support innovative and impact-oriented research that help deliver TNC outcomes;
Invest in the talent potential of a new generation of climate change leaders;
Recruit scientists who bring a diversity of culture, experience, and ideas into conservation; and
Provide partner universities and fellows with access to real-world conservation issues."
"* For those applying for a fellowship through Columbia University (Earth Institute), this must be the first post-doc position you will hold."</t>
  </si>
  <si>
    <t>Fellowship Programs</t>
  </si>
  <si>
    <t>General
gender studies</t>
  </si>
  <si>
    <t>CHECK back in March
OTHER DEADLINE for natural sciences and math is October 4, 2018
"As a fellow, you will focus on your individual project while benefiting from a dynamic, multidisciplinary community at Harvard University. Fellows—women and men—are at the forefront of the arts, journalism, humanities, sciences, and social sciences." ... "Applications in all academic disciplines, professions, and creative arts are encouraged, and there are a few areas of special interest: 
Applications related to the broad theme of the human body, which is a one-year initiative across the programs of the Radcliffe Institute 
Applications that involve the study of women, gender, and society, which is a commitment rooted in Radcliffe’s unique history 
Applications that draw on the resources of the Schlesinger Library on the History of Women in America, which is part of the Radcliffe Institute and one of the foremost archives on women’s history 
Applications for the Mellon-Schlesinger Fellowship, part of the broader Long 19th Amendment Project funded by the Andrew W. Mellon Foundation"</t>
  </si>
  <si>
    <t>mid-career</t>
  </si>
  <si>
    <t>$3,000-$4,000</t>
  </si>
  <si>
    <t xml:space="preserve">"The Society awards a number of competitive fellowships to members each year supporting individual research projects and publications that advance scholarly knowledge about the period 1300-1700. The purpose of the fellowships, both residential and non-residential, is to support members who need to travel to archives, libraries, and historic sites to conduct short-term research (usually 1–2 months), and then to publish their results for the scholarly community and the general public." 
Residential Fellowships are:
The RSA–Bodleian Library Fellowship, Oxford University, UK
The RSA–Patricia H. Labalme Fellowship, Centro Vittore Branca at Fondazione Giorgio Cini, Venice, Italy
The RSA–Centre for Reformation and Renaissance Studies (CRRS) Fellowship, Toronto, Ontario, Canada
The RSA-Folger, Folger Shakespeare Library, Washington, DC
The RSA-Newberry Fellowship, Newberry Library, Chicago, IL
The RSA-Huntington Fellowship, Huntington Library, San Marino, CA
</t>
  </si>
  <si>
    <t>"Samuel H. Kress Short-Term Research Library Fellowships for Art Historians
Thanks to a generous grant from the Kress Foundation, RSA will award one Samuel H. Kress Short-Term Research Library Fellowship to an art historian at each of the following nine host institutions."
The RSA–Kress Bodleian Library Fellowship, Oxford University, UK
The RSA–Kress Centro Vittore Branca Fellowship, Fondazione Giorgio Cini, Venice, Italy
The RSA–Kress Centre for Reformation and Renaissance Studies (CRRS) Fellowship, Toronto, Ontario, Canada
The RSA–Kress Folger Fellowship, Washington, DC
The RSA–Kress Newberry Fellowship, Chicago, IL
The RSA–Kress Huntington Fellowship, San Marino, CA
The RSA–Kress New York Public Library Fellowship
The RSA–Kress Beinecke Library Fellowship, Beinecke Rare Book &amp; Manuscript Library, Yale University, CT
The RSA–Kress UCLA Library Fellowship, University of California Los Angeles, Special Collections, Los Angeles, CA</t>
  </si>
  <si>
    <t>Fellowship Programme</t>
  </si>
  <si>
    <t>Education</t>
  </si>
  <si>
    <t>1000 EUR</t>
  </si>
  <si>
    <t>"THE FELLOWSHIPS ARE AWARDED IN PARTICULAR FOR
research motivated by the desire to promote understanding among nations through education. This research is aimed at identifying prejudices, distortions in perception, and stereotyped and adversarial images transmitted in education, as well as their origins, by means of analysing educational material, international educational and didactical research on the methods, content and objectives of teaching in the subject areas in which the Institute's library specialises; research in the field of the fundamental governmental, institutional and social frameworks in which this teaching takes place, academic research on issues of perception and reception in the fields of history, geography and social science studies on textbook development in the subjects represented at the Institute which aim at identifying new directions for the production of textbooks based on comparative international textbook research."</t>
  </si>
  <si>
    <t>up to $51,000</t>
  </si>
  <si>
    <t>"The Research Fellowship Program aims to promote and cultivate scholarly research about Oman across several academic disciplines. The fellowship is open to PhD candidates and university academics who are US citizens or affiliated with an American university, and funds one scholar or team of scholars to carry out research in Oman each year."</t>
  </si>
  <si>
    <t>Sloan Research Fellowships</t>
  </si>
  <si>
    <t>Research Support Fellowship</t>
  </si>
  <si>
    <t>&lt;$60,000 plus $1,000 research costs</t>
  </si>
  <si>
    <t>"for scholars, artists, and scientists pursuing outstanding research in all disciplines — including the arts, engineering, humanities, law, and formal, natural, and social sciences — with projects that are creative, innovative, or align with the intellectual orientation of the NDIAS. Projects that integrate questions of value, meaning, or purpose in the analyses are encouraged. The Institute seeks applicants with excellent records of accomplishment pursuing fellowships for periods ranging from three weeks to a full academic year."</t>
  </si>
  <si>
    <t>&lt;10 years postdoc 
early career</t>
  </si>
  <si>
    <t>OTHER DEADLINE:  September 2018
"This fellowship supports advanced research in the humanities for U.S. postdoctoral scholars, and foreign national postdoctoral scholars who have been residents in the US for three or more years.
Scholars must carry out research in a country which hosts a participating American overseas research center. Eligible countries for 2017-2018 are: Algeria, Armenia, Azerbaijan, Cambodia, Cyprus, Georgia, Indonesia, Mexico, Mongolia, Morocco, Nepal, Senegal, Sri Lanka or Tunisia. Fellowship stipends are $4,200 per month for a maximum of four months. This program is funded by the National Endowment for the Humanities (NEH) under the Fellowship Programs at Independent Research Institutions (FPIRI)."</t>
  </si>
  <si>
    <t>early</t>
  </si>
  <si>
    <t>All</t>
  </si>
  <si>
    <t>&lt;$40,000 for Assistant Professor 
&lt;$50,000 for Associate Professor 
&lt;$70,000 for full Professor</t>
  </si>
  <si>
    <t>"ACLS invites research applications from scholars in all disciplines of the humanities and related social sciences. Faculty appointments are not required. The ultimate goal of the project should be a major piece of scholarly work by the applicant, which can take the form of a monograph, articles, digital publication(s), critical edition, or other scholarly resources. The ACLS Fellowship program does not fund creative work (e.g., novels or films), textbooks, straightforward translation, or pedagogical projects.
ACLS Fellowships are intended as salary replacement to help scholars devote six to twelve continuous months to full-time research and writing. The awards are portable and are tenable at the fellow's home institution, abroad, or at another appropriate site for research. (1) An ACLS Fellowship may be held concurrently with other fellowships and grants and any sabbatical pay, up to an amount equal to the candidate's current academic year salary."</t>
  </si>
  <si>
    <t>$95,000
plus $7,500 for research and $3,000 for relocation</t>
  </si>
  <si>
    <t>"The Burkhardt program offers two sets of opportunities for recently tenured humanists. The first set of Burkhardt Fellowships support an academic year (nine months) of residence at any one of 13 participating residential research centers, and are open to faculty at any degree-granting academic institution in the United States. An additional set of Burkhardt Fellowships are designated specifically for liberal arts college faculty, and support an academic year of residence at a wider range of locations including campus humanities centers and university academic departments to be proposed by the applicant. (Liberal arts college faculty may apply for either of the Burkhardt awards and should select the fellowship opportunity that will best serve their project.)"</t>
  </si>
  <si>
    <t>50% of salary &lt;$100,000 plus &lt;$10,000 for expenses related to a leave</t>
  </si>
  <si>
    <t>50% of salary &lt;$100,000 plus &lt;$25,000 for expenses related to a leave</t>
  </si>
  <si>
    <t>&lt;$70,000/9 months</t>
  </si>
  <si>
    <t>"The Dorothy and Lewis B. Cullman Center for Scholars and Writers offers fellowships to people whose work will benefit directly from access to the research collections at the Stephen A. Schwarzman Building at Fifth Avenue and 42nd Street. Renowned for the extraordinary comprehensiveness of its collections, the Library is one of the world's preeminent resources for study in anthropology, art, geography, history, languages and literature, philosophy, politics, popular culture, psychology, religion, sociology, and sports.... The Cullman Center’s Selection Committee awards up to 15 fellowships a year to outstanding scholars and writers—academics, independent scholars, journalists, and creative writers."</t>
  </si>
  <si>
    <t>rolling</t>
  </si>
  <si>
    <t>A&amp;H
Religion</t>
  </si>
  <si>
    <t>"The Society for the Humanities at Cornell University invites applications for residential fellowships from scholars whose research projects reflect on the 2019-20 theme of ENERGY. Six to eight Fellows will be appointed. The fellowships are held for one academic year. Each Society Fellow will receive $50,000. 
Fellows include scholars and practitioners from other universities and members of the Cornell faculty released from regular duties. Fellows will collaborate with the Taylor Family Director of the Society for the Humanities, Paul Fleming, Professor of Comparative Literature and German Studies. Fellows spend their time in research and writing, participate in the weekly Fellows Seminar, and offer one course related to their research. Courses should be related to the focal theme, and appropriate for graduate students and advanced undergraduates. Fellows are encouraged to explore topics they would not normally teach and, in general, to experiment freely with both the content and the method of their courses."</t>
  </si>
  <si>
    <t>$500/one month plus room and work space</t>
  </si>
  <si>
    <t>"provide an annual opportunity to an emerging visual artist 25 years and older who needs time and space to explore ideas and start new projects.  Artist Fellows will receive a one-month residency at the Santa Fe Art Institute, which includes a private room and bath, a private studio space, and a $500 travel stipend. Founded in 1985, the Santa Fe Art Institute (SFAI) provides a unique opportunity for emerging artists to pursue creative projects without interruption. SFAI supports over 50 residents per year and offers a cohesive, arts-focused environment that creates the ideal working conditions for resident artists. Living and studio space is located within a nearly 17,000 square foot complex designed by renowned Mexican architect, Ricardo Legoretta. The unique SFAI environment allows residents to be as interactive or private as they wish. There are no requirements on the work produced during their time at SFAI."</t>
  </si>
  <si>
    <t>Visiting Fellowship</t>
  </si>
  <si>
    <t>Social Science</t>
  </si>
  <si>
    <t xml:space="preserve">stipend, travel, health insurance, partial housing </t>
  </si>
  <si>
    <t>"the Kellogg Institute for International Studies has offered visiting fellowships to promote interdisciplinary international research in a supportive community of scholars. This widely respected residential program offers you time to pursue scholarly inquiry where it takes you, advance your personal research, and collaborate with other scholars and practitioners from across the US and around the globe.
As a visiting fellow, you pursue research related to Kellogg Institute themes of democracy and human development, share your research with the Notre Dame scholarly community, and have the opportunity to publish in Kellogg’s peer-reviewed Working Paper Series." ... "We expect fellows to attend and participate in the weekly seminar and lecture series and most Kellogg events."</t>
  </si>
  <si>
    <t>Language and Area Studies
Eastern Europe &amp; former Soviet Union</t>
  </si>
  <si>
    <t xml:space="preserve">Fellowship travel
</t>
  </si>
  <si>
    <t>$5,000-25,000</t>
  </si>
  <si>
    <t>"Funded by the U.S. Department of State’s Program for Research and Training on Eastern Europe and the Independent States of the Former Soviet Union (Title VIII), the American Councils Research Scholar Program provides full support for graduate students, faculty, and independent scholars seeking to conduct in-country, independent research for three consecutive months to nine consecutive months in Russia, Eurasia, and Eastern Europe."</t>
  </si>
  <si>
    <t>External Faculty Fellowships</t>
  </si>
  <si>
    <t>&lt;$70,000
housing and moving allowance of &lt;$30,000</t>
  </si>
  <si>
    <t>"The Humanities Center offers approximately twenty-five residential fellowships for the academic year to Stanford and non-Stanford scholars at different career stages, giving them the opportunity to pursue their work in a supportive intellectual community.... External fellowships are intended primarily for individuals currently teaching in or affiliated with an academic institution, but independent scholars may apply. Faculty fellowships are awarded across the spectrum of academic ranks (assistant, associate, and full professor) and a goal of the selection process is to create a diverse community of scholars."</t>
  </si>
  <si>
    <t>Berlin Prize</t>
  </si>
  <si>
    <t>$5,000 plus travel, room, and partial board</t>
  </si>
  <si>
    <t>"Each year the Academy welcomes about two dozen fellows to the Hans Arnhold Center, on Lake Wannsee. The Academy also hosts a small number of invited Distinguished Visitors for shorter stays of one to four weeks, and organizes a diverse public program that includes lectures and presentations by resident fellows, Distinguished Visitors, and guest speakers.
In addition to placing a high priority on the independent work of its fellows, the Academy is in a unique position to aid fellows in establishing professional networks, both in Berlin and beyond. The Academy’s public atmosphere, which actively encourages fellows to introduce their work to wider audiences, serves its mission of fostering transatlantic ties through cultural exchange."</t>
  </si>
  <si>
    <t>established</t>
  </si>
  <si>
    <t>travel, lodging, meals at 4 gatherings</t>
  </si>
  <si>
    <t>~$50,000</t>
  </si>
  <si>
    <t>Soros Justice Fellowship</t>
  </si>
  <si>
    <t>$52,500-120,000</t>
  </si>
  <si>
    <t>Clark Fellowships</t>
  </si>
  <si>
    <t>"The Clark offers between ten and sixteen Clark Fellowships each year, ranging in duration from one to ten months. National and international scholars, critics, and museum professionals are welcome to propose projects that extend and enhance the understanding of the visual arts and their role in culture. Stipends are dependent on salary and sabbatical replacement needs. Housing in the Clark’s Scholars’ Residence, located across the street from the campus, is provided. A number of special fellowships are also offered."</t>
  </si>
  <si>
    <t>Senior Fellowships</t>
  </si>
  <si>
    <t>5+ years postdoc</t>
  </si>
  <si>
    <t>50% of salary &lt;$50,000</t>
  </si>
  <si>
    <t>"The Center for Advanced Study in the Visual Arts announces its program for senior fellowships. Fellowships are for full-time research, and scholars are expected to reside in Washington and to participate in the activities of the Center throughout the fellowship period. Lectures, colloquia, and informal discussions complement the fellowship program....
The Paul Mellon and Ailsa Mellon Bruce Senior Fellowships are intended to support research in the history, theory, and criticism of the visual arts (painting, sculpture, architecture, landscape architecture, urbanism, prints and drawings, film, photography, decorative arts, industrial design, and other arts) of any geographical area and of any period. The Samuel H. Kress Senior Fellowships are intended to support research on European art before the early nineteenth century. The William C. Seitz Senior Fellowship is primarily intended to support research on modern and contemporary art. Senior fellowship applications are also solicited from scholars in other disciplines whose work examines artifacts or has implications for the analysis and criticism of form."</t>
  </si>
  <si>
    <t>A&amp;H
Creative Arts
Visual Art</t>
  </si>
  <si>
    <t>professionally active at least 3 years</t>
  </si>
  <si>
    <t>room &amp; board</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</si>
  <si>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Artists invites 30 artists from around the world, representing a wide diversity of artistic styles and practices, to gather in rural New York for four weeks each summer to experiment, collaborate and share ideas. Concentrated time for creative work is balanced with the stimulation of cultural exchange and critical appraisal."</t>
  </si>
  <si>
    <t>A&amp;H
Creative Arts
Writing</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</si>
  <si>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Writers, formerly known as Ledig House, hosts authors and translators from around the world for residencies throughout the spring and fall. The program’s strong international emphasis provides exposure for global literary voices and reflects the spirit of cultural exchange that is essential to Art Omi’s mission."</t>
  </si>
  <si>
    <t>&lt;$75,000</t>
  </si>
  <si>
    <t>"THE SCHOOL OF HISTORICAL STUDIES supports scholarship in all fields of historical research, but is concerned principally with the history of western, near eastern and Asian civilizations, with particular emphasis upon Greek and Roman civilization, the history of Europe (medieval, early modern, and modern), the Islamic world, East Asian studies, art history, the history of science and philosophy and modern international relations. The School also offers the Edward T. Cone Membership in Music Studies. Each year the School welcomes approximately forty Members selected on the basis of both external and internal review. Most are working on topics in the above mentioned fields, but each year the School also selects some scholars working in other areas of historical research."</t>
  </si>
  <si>
    <t>Art Omi</t>
  </si>
  <si>
    <t>Art Omi: Artists Residency</t>
  </si>
  <si>
    <t>A&amp;H
 Creative Arts
 Visual Art</t>
  </si>
  <si>
    <t>Art Omi: Writers Residency</t>
  </si>
  <si>
    <t>A&amp;H
 Creative Arts
 Writing</t>
  </si>
  <si>
    <t>"The Reagan-Fascell Democracy Fellows Program hosts democracy activists, scholars, and journalists for five-month fellowships, bringing fresh insights and perspectives to Washington, DC. The fellowship offers an important opportunity to explore new ideas in a comparative context, undertake individual research, and share best practices with one another."</t>
  </si>
  <si>
    <t>Sciences
Health and Medicine</t>
  </si>
  <si>
    <t>"The National Humanities Center will offer up to 40 residential fellowships for advanced study in the humanities for the period September 2018 through May 2019. Applicants must have a doctorate or equivalent scholarly credentials.... In addition to scholars from all fields of the humanities, the Center accepts individuals from the natural and social sciences, the arts, the professions, and public life who are engaged in humanistic projects."</t>
  </si>
  <si>
    <t>$250/week plus travel</t>
  </si>
  <si>
    <t>The Camargo Core Program is the historical and flagship program of the Foundation. Each year an international call is launched through which 18 fellows (9 artists and 9 scholars/thinkers) are selected. The Camargo Core Program offers time and space in a contemplative environment to think, create, and connect. By supporting groundbreaking research and experimentation, it contributes to the visionary work of artists, scholars and thinkers in the Arts and Humanities. By encouraging multidisciplinary and interdisciplinary approaches, it intends to foster connections between research and creation.</t>
  </si>
  <si>
    <t>A&amp;H
Creative Arts
Architecture</t>
  </si>
  <si>
    <t>early career
mid career</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</si>
  <si>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The Art Omi:  Architecture "residency is first of its kind in the nation, inviting 10 early- to mid-career architects from around the world to develop their work during a full two-week residency on Omi's campus. Art Omi: Architecture aims to nurture experimentation at the intersection of architecture, art and landscape."</t>
  </si>
  <si>
    <t>Art Omi: Architecture Residency</t>
  </si>
  <si>
    <t>A&amp;H
 Creative Arts
 Architecture</t>
  </si>
  <si>
    <t>early career
 mid career</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</si>
  <si>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The Art Omi: Architecture "residency is first of its kind in the nation, inviting 10 early- to mid-career architects from around the world to develop their work during a full two-week residency on Omi's campus. Art Omi: Architecture aims to nurture experimentation at the intersection of architecture, art and landscape."</t>
  </si>
  <si>
    <t>A&amp;H
Religion, journalism, int'l affairs</t>
  </si>
  <si>
    <t>&lt;5 years postdoc</t>
  </si>
  <si>
    <t>€2,000/month plus family allowance</t>
  </si>
  <si>
    <t>"The Max Weber Programme is the largest international postdoctoral programme in the Social Sciences and Humanities in Europe. It offers around 50-55 fully funded Fellowships to suitably qualified researchers from anywhere in the world who work in or across the relevant disciplines of the EUI (Economics, History, Law and Social and Political Sciences and their subfields). The working language of the Programme is English.
The aim of the MWP is to provide Fellows with the experience of membership of a vibrant academic community, to which they make a central contribution. It is unique in offering a structured Programme covering all aspects of an academic career, including support for academic writing in English, applying for research grants,  the opportunity to teach in some of Europe’s leading universities and to develop a strategy for a successful approach to the academic labour market."</t>
  </si>
  <si>
    <t xml:space="preserve">"The Columbia Institute for Ideas and Imagination, based at Reid Hall in Paris, offers approximately seven full fellowships annually to Columbia faculty. The Institute encourages applications in all disciplines and on any topic from candidates interested in participating in a creative community of scholars, artists, and thinkers. The fellows will each receive $37,500 per term, or $75,000 for a full academic year (September through May), an office at the Institute in Paris, and access to Columbia’s libraries and various research facilities in Paris and in Europe. We welcome projects from those working in any area of the humanities, the humanistic social sciences, and conceptual dimensions of the natural and applied sciences, as well as from visual artists, filmmakers, writers, and other creative thinkers. In order to be eligible to apply, Columbia faculty should indicate their school and departmental affiliation. We welcome group projects although each participant in the group must apply individually and will be considered on his or her own merits.”  </t>
  </si>
  <si>
    <t>$10,000-30,000/3-9 months</t>
  </si>
  <si>
    <t>"It offers two major research libraries: the Blegen, with over 107,000 volumes dedicated to the ancient Mediterranean world; and the Gennadius, with over 146,000 volumes and archives devoted to post-classical Hellenic civilization and, more broadly, the Balkans and the eastern Mediterranean. The School also sponsors excavations and provides centers for advanced research in archaeological and related topics at its excavations in the Athenian Agora and Corinth, and it houses an archaeological laboratory at the main building complex in Athens." 
"Postdoctoral scholars and professionals in relevant fields including architecture or art who are US citizens or foreign nationals who have lived in the US for the three years immediately preceding the application deadline. Applicants must already hold their PhD or equivalent terminal degree at the time of application." "NEH Fellows will be expected to reside primarily at the American School of Classical Studies at Athens (though research may be carried out elsewhere in Greece)."</t>
  </si>
  <si>
    <t xml:space="preserve">&lt;5 years postdoc 
early career </t>
  </si>
  <si>
    <t>$52,500 plus $3,000 for research costs</t>
  </si>
  <si>
    <t>"The Schusterman Center for Israel Studies at Brandeis University invites applications for our Israel Institute Post-doctoral Fellowship in Israel Studies 2018-2019. Priority given to PhDs in Gender Studies, Economics, Politics, Social Sciences, and Theater, Film and Media Studies.
The fellow will teach one course per semester in Israel Studies, in the relevant Brandeis department. The fellow is expected to be in residence at Brandeis University, participate actively in the intellectual life of the Schusterman Center for Israel Studies, and present at least one public lecture."</t>
  </si>
  <si>
    <t>Jefferson Science Fellowship</t>
  </si>
  <si>
    <t>In conjunction with the U.S. Department of State and the U.S. Agency for International Development (USAID)
"Selected Jefferson Science Fellows spend one year on assignment at the U.S. Department of State or USAID as science advisors on foreign policy/international development issues. Assignments are tailored to the needs of the hosting office, while taking into account the Fellows’ interests and areas of expertise. As part of their assignments, Fellows also have the opportunity to travel to U.S. embassies and missions overseas. Following the fellowship year, Fellows will return to their academic career but will remain available to the U.S. government as an experienced consultant for short-term projects."</t>
  </si>
  <si>
    <t>International Affairs Fellowship</t>
  </si>
  <si>
    <t>"Established in 1967, the International Affairs Fellowship (IAF) is the hallmark fellowship program of CFR. It aims to bridge the gap between the study and making of U.S. foreign policy by creating the next generation of scholar-practitioners. The program offers its fellows the unique chance to experience a new field and gain a different perspective at a pivotal moment in their careers. Academics are thus placed in public service and policy-oriented settings, while government officials are placed in scholarly settings."</t>
  </si>
  <si>
    <t>Sciences
Psychology</t>
  </si>
  <si>
    <t>Loeb Classical Library Foundation Fellowship</t>
  </si>
  <si>
    <t>A&amp;H
Classics</t>
  </si>
  <si>
    <t>aculty or faculty emeritus</t>
  </si>
  <si>
    <t>$1,000 to $35,000</t>
  </si>
  <si>
    <t>early mid-career</t>
  </si>
  <si>
    <t>Fellowships will be awarded for 2020-21 in Ficiton, Poetry, and Playwriting, and Theater Studies. 
"The Howard Foundation awards a limited number of fellowships each year for independent projects in selected fields, targeting its support specifically to early mid-career individuals, those who have achieved recognition for at least one major project....
Fellowships are offered in a five-year sequence of fields. Successful candidates are given the option of postponing receipt of their fellowship, so as to make the Howard competition accessible to those whose personal plans do not line up exactly with the year in which awards are offered in their fields."</t>
  </si>
  <si>
    <t>$75,000-$100,000</t>
  </si>
  <si>
    <t>"AAAS Science &amp; Technology Policy Fellowships (STPF) provide opportunities to outstanding scientists and engineers to learn first-hand about policymaking while contributing their knowledge and analytical skills to the federal policymaking process. Fellows serve yearlong assignments in the executive, legislative and judicial branches of the federal government in Washington. Each year, the program adds to a growing corps over 3,000 strong of policy-savvy leaders working across academia, government, nonprofits and industry to serve the nation and the world."</t>
  </si>
  <si>
    <t>Rome Prize</t>
  </si>
  <si>
    <t>$16,000 half-term
$28,000 full-term plus room, board, work space</t>
  </si>
  <si>
    <t>"For over a century, the AMERICAN ACADEMY IN ROME has awarded the Rome Prize to support innovative and cross-disciplinary work in the arts and humanities. Rome Prize Fellowships include a stipend, room and board, and an individual work space at AAR’s eleven-acre campus in Rome. 
Fellowships are awarded in the following disciplines:
Ancient Studies 
Architecture 
Design (includes graphic, industrial, interior, exhibition, set, costume, and fashion design, urban design, city planning, engineering, and other design fields)
Historic Preservation and Conservation
Landscape Architecture (includes environmental design and planning, landscape/ecological urbanism, landscape history, sustainability and ecological studies, and geography)
Literature (includes fiction, literary nonfiction, and poetry)
Medieval Studies
Modern Italian Studies
Musical Composition 
Renaissance and Early Modern Studies
Visual Arts (includes painting, sculpture, drawing, photography, film/video, installation, new media, digital arts, and other visual arts fields)"</t>
  </si>
  <si>
    <t>$4,200 a month</t>
  </si>
  <si>
    <t>"Long-Term Fellowships are intended to support individual scholarly research and promote serious intellectual exchange through active participation in the Newberry’s scholarly activities, including Fellows’ Seminars and Weekly Colloquium"</t>
  </si>
  <si>
    <t>"offers five Solmsen Fellowships each year to scholars outside UW-Madison working in the humanities on European history and culture in the classical, medieval, and/or early modern periods before 1700. Projects on the relationship of pre-1700 Europe to other parts of the world are also welcome. 
Fellows are expected to be in residence throughout the academic year (except for short research trips, lectures, conferences, etc.) and may extend their residency through the following summer on a non-stipendary basis."</t>
  </si>
  <si>
    <t>$5,555.55/month for 6-9 months up to $50,000</t>
  </si>
  <si>
    <t>"In addition to being the world's largest Shakespeare collection, the Folger is home to major collections of other rare Renaissance books, manuscripts, and works of art. Located a block from the US Capitol, the Folger serves a wide audience of scholars, visitors, teachers, students, families, and theater- and concert-goers." ... "We welcome applications from archivists, creative artists, curators, librarians, performers, and playwrights whose research will benefit from focused engagement with the Folger collections."</t>
  </si>
  <si>
    <t>$16,800-$37,800</t>
  </si>
  <si>
    <t>"National Endowment for the Humanities Post-Doctoral Fellowships support research in residence at the Library Company on any subject relevant to its collections, which are capable of supporting research in a variety of fields and disciplines relating to the history of America and the Atlantic world form the 17th through the 19th centuries....  NEH fellowships are tenable for four to nine months.  The stipend is $4,200 per month."</t>
  </si>
  <si>
    <t>High Ed</t>
  </si>
  <si>
    <t>"The Institute for Research in the Humanities will offer two Robert M. Kingdon Fellowships for 2019-2020 to be awarded to scholars from outside the University of Wisconsin-Madison. Through a generous bequest from Robert M. Kingdon, the Kingdon Fellowship sponsors scholars working in the humanities in the historical, literary, artistic, and/or philosophical studies of Christian and/or Jewish religious traditions and their role in society. Projects may focus on any period from antiquity to the present, on any part of the world, and in any field(s) in the humanities. They may explore various forms of the Jewish and/or Christian traditions; the interaction of one or both of these with other religious traditions; and/or the relationship of one or both of these religions to other aspects of society within or outside of Europe.
Kingdon Fellows are expected to be in residence at the Institute throughout the academic year (except for short research trips, lectures, conferences, etc.) and may extend this residency through the following summer on a non-stipendary basis."</t>
  </si>
  <si>
    <t>$5,000-$23,000</t>
  </si>
  <si>
    <t>"The American-Scandinavian Foundation (ASF) is a publicly supported, nonprofit, organization that promotes international understanding through educational and cultural exchange between the U.S. and the Nordic countries." 
"Fellowships (up to $23,000) and grants (up to $5,000) to individuals to pursue research, study or creative arts projects in one or more Scandinavian country (Denmark, Finland, Iceland, Norway, Sweden) for up to one year. Awards are made in all fields."</t>
  </si>
  <si>
    <t>$54,400/year + $4,000 research costs</t>
  </si>
  <si>
    <t>"The purpose of the Mpala Postdoctoral Fellowship is to promote the study of biology, anthropology, geology, hydrology, material science, social science, soil science or related areas. Projects must be tenable in residence at Smithsonian Institution facilities and Mpala Research Centre.... Fellowships are offered by the Smithsonian Institution to provide opportunities for graduate students, predoctoral students, and postdoctoral and senior investigators to conduct research in association with members of the Smithsonian professional research staff, and to utilize the resources of the Institution."</t>
  </si>
  <si>
    <t>Language and Area Studies
Europe</t>
  </si>
  <si>
    <t>None</t>
  </si>
  <si>
    <t>"Every year, the Minda de Gunzburg Center for European Studies hosts a number of Visiting Scholars from the United States, Europe and other parts of the globe. Visiting Scholars are chosen from a pool of applications from post-doctoral social scientists and historians who are working on modern Europe. They continue their research on the Harvard campus while engaging with CES faculty, graduate and undergraduate students and participating in study groups, seminars, and conferences."</t>
  </si>
  <si>
    <t>Sciences
Astronomy</t>
  </si>
  <si>
    <t>Fellowship on site (with exceptions)</t>
  </si>
  <si>
    <t>"The Jansky Fellowship Program supports outstanding postdoctoral scientists whose research is broadly related to the mission and scientific goals of the National Radio Astronomy Observatory (NRAO), which operates two world-class research facilities: the Atacama Large Millimeter/submillimeter Array and the Very Large Array.
As a Jansky Fellow, you will have a unique opportunity to contribute to and learn from the development and delivery of the largest and most capable radio telescopes in the world. Research that employs NRAO telescopes in multi-wavelength collaborations is encouraged. Candidates with interests in radio astronomy techniques, instrumentation, computation, and theory are encouraged to apply. Applicants should describe how their research or technical interests couple with NRAO telescopes or science."</t>
  </si>
  <si>
    <t>Hubble Fellowship Program</t>
  </si>
  <si>
    <t>early career (preference given to &lt;5 years postdoc)</t>
  </si>
  <si>
    <t>"For travel and study to be conducted between July 1 of the award year and the following June 30. Preference will be given to projects of at least a half-year's duration. The award is to be used for travel and study in Greece (the modern state), Cyprus, the Aegean Islands, Sicily, southern Italy (that is, the Italian provinces of Campania, Molise, Apulia, Basilicata, and Calabria), Asia Minor (Turkey) or Mesopotamia (that is, the territory between the Tigris and Euphrates rivers, that is modern Iraq and parts of northern Syria and eastern Turkey)."</t>
  </si>
  <si>
    <t>education</t>
  </si>
  <si>
    <t>$70,000/yr</t>
  </si>
  <si>
    <t>"The postdoctoral fellowship was established in 1986 by the NAEd with a grant from the Spencer Foundation. The fellowship program is intended to support early-career scholars working in critical areas of education research. To that end, the NAEd seeks to fund proposals that promise to make significant scholarly contributions to the field of education and to advance the careers of the recipients."</t>
  </si>
  <si>
    <t>$2,000-7,500</t>
  </si>
  <si>
    <t>10+ years postdoc</t>
  </si>
  <si>
    <t>&lt;$15,000</t>
  </si>
  <si>
    <t>James Marston Fitch Mid-Career Fellowship</t>
  </si>
  <si>
    <t>Not updated as of 2.20.19
"Research grants of up to $15,000 will be awarded to one or two mid-career professionals who have an academic background, professional experience and an established identity in one or more of the following fields: historic preservation, architecture, landscape architecture, urban design, environmental planning, architectural history and the decorative arts. The James Marston Fitch Charitable Foundation will consider proposals for the research and/or the execution of the preservation-related projects in any of these fields."</t>
  </si>
  <si>
    <t>Individual Residential Fellowships</t>
  </si>
  <si>
    <t>$75,000/one year</t>
  </si>
  <si>
    <t>"In addition to scholars working in fields of the behavioral and social sciences, those in other areas will also be considered for fellowships if their work has human behavioral and social dimensions.... Fellows must reside during their fellowship term in a community within ten miles of the Center. CASBS partners with several entities to provide funding for some residential fellows whose research projects focus on certain topics.
An applicant’s statement of interest in one of these options does not bear on the CASBS fellowship selection committee’s process, nor does it guarantee that an applicant will receive this particular fellowship in the event that they are awarded a CASBS fellowship."</t>
  </si>
  <si>
    <t>DEADLINE: first Monday in November each year
"Resident scholar fellowships are awarded annually by the School for Advanced Research (SAR) to up to six scholars who have completed their research and who need time to prepare manuscripts or dissertations on topics important to the understanding of humankind. Resident scholars may approach their research from the perspective of anthropology or from related fields such as history and sociology. Scholars from the humanities and social sciences are encouraged to apply."</t>
  </si>
  <si>
    <t>Laurance S. Rockefeller Visiting Faculty Fellowships</t>
  </si>
  <si>
    <t>&lt;50% salary</t>
  </si>
  <si>
    <t>"Fellows devote an academic year in residence at Princeton to research and writing about topics involving human values in public and private life. The program is open to scholars in all disciplines provided their research plans qualify. In recent years fellows have been drawn from fields including philosophy, political theory, literature, history, classics, economics and law, but this list is not meant to be exhaustive."</t>
  </si>
  <si>
    <t>Sciences
Health Sciences</t>
  </si>
  <si>
    <t>mid</t>
  </si>
  <si>
    <t>&lt;$165,000</t>
  </si>
  <si>
    <t>The Robert Wood Johnson Foundation (RWJF) Health Policy Fellows program provides the nation’s most comprehensive learning experience at the nexus of health, science, and policy in Washington, D.C. It is an outstanding opportunity for exceptional mid-career health professionals and behavioral/social scientists with an interest in health and health care policy. Fellows participate in the policy process at the federal level and use that leadership experience to improve health, health care, and health policy.</t>
  </si>
  <si>
    <t>Language and Area Studies
Asia</t>
  </si>
  <si>
    <t>Membership</t>
  </si>
  <si>
    <t>$3,500-4-000</t>
  </si>
  <si>
    <t>"The Ransom Center['s]... extensive collections provide unique insight into the creative process of writers and artists, deepening our understanding and appreciation of literature, photography, film, art, and the performing arts." 
"For its 2019–2020 fellowship program, the Ransom Center will award 10 dissertation fellowships and up to 50 postdoctoral fellowships for projects that require substantial on-site use of its collections. The collections support research in all areas of the humanities, including literature, photography, film, art, the performing arts, music, and cultural history."</t>
  </si>
  <si>
    <t>$3,000/month for short term
$50,000 for 9-12 months</t>
  </si>
  <si>
    <t>"The Dibner Program in the History of Science offers scholars the opportunity to work in the Huntington’s Burndy Library and its other resources for the study of history of science and technology."</t>
  </si>
  <si>
    <t>"The institution awards approximately 200 fellowships to scholars in the fields of history, literature, art, and the history of science. These scholarly pursuits lead to best-selling books, Pulitzer Prizes, acclaimed documentary films, and many of the history and social studies textbooks that educate the nation’s school children. The Huntington's independent research library has significant holdings in British and American history; British and American literature; art history, the history of science and medicine; and the history of the book.... The Art Collections contain several notable British and American paintings; innumerable fine prints and photographs; and an art reference library. In the library of the Botanical Gardens is a broad collection of reference works in botany, horticulture, and gardening."</t>
  </si>
  <si>
    <t>Visiting Scholar Research Program</t>
  </si>
  <si>
    <t>"ISAW's scope embraces research and graduate education in the history, archaeology, and culture of the entire Old World from late prehistoric times to the eighth century AD, including Asia and Africa. Projects of a theoretical or comparative nature relevant to this domain are also welcome. Academic visitors at ISAW should be individuals of scholarly distinction or promise in any relevant field of ancient studies who will benefit from the stimulation of working in an environment with colleagues in other disciplines. Applicants with a history of interdisciplinary exchange are particularly welcome. They will be expected to be in residence at the Institute during the period for which they are appointed and to take part in the intellectual life of the community."</t>
  </si>
  <si>
    <t>&lt;5 years</t>
  </si>
  <si>
    <t>$47,000/year for two years</t>
  </si>
  <si>
    <t>"The Mellon Fellow’s primary responsibility will be to conduct research for exhibitions exploring the intersections of history, art, and science. The Fellow will be fully integrated into the APS Museum staff, working closely with others on the curatorial team. They will select objects for exhibitions and develop thematic narratives. The Fellow will gain extensive experience in planning and implementing exhibitions as well as researching and writing interpretive materials for non-scholarly audiences (exhibition labels and text panels, website text, etc.). Depending on the Fellow’s interests and the Museum’s needs, they may also participate in public programming, museum education, collections management, and website development. Twenty percent of the Fellow’s time will be reserved for their own independent research, ideally using resources at the APS or kindred regional institutions."</t>
  </si>
  <si>
    <t>$2,100/month for 2-4 months</t>
  </si>
  <si>
    <t>$4,200/month for 5-10 months</t>
  </si>
  <si>
    <t xml:space="preserve">$3,700/month, 2-6 months </t>
  </si>
  <si>
    <t>Scholars-in-Residence</t>
  </si>
  <si>
    <t>$2,500/month
$35,000/6 months</t>
  </si>
  <si>
    <t>"The Schomburg Center Scholars-in-Residence Program offers long-term and short-term fellowships to support scholars and writers working on projects that would benefit from access to the Center's extensive resources for the study of African diasporic history, politics, literature, and culture.
The Schomburg Center is a world-renowned repository of sources on every facet of the African diasporic experience, with extensive holdings including numerous unique manuscript and archival collections as well as a comprehensive range of publications, photographs, films, audio recordings, and visual art."</t>
  </si>
  <si>
    <t>Salary replacement plus travel</t>
  </si>
  <si>
    <t>"As part of our mission to support innovation in historical research, The Davis Center welcomes applications for Fellowships from scholars whose research engages broadly and imaginatively with the theme that the Center sets each year. Our aim is to bring to five to six Fellows per semester to the Center where they pursue their own scholarly projects and contribute to the intellectual community of the Center and the university. We are also pleased to announce one residential Postdoctoral Research Associate or more senior position, focused on the more specific topic of “Law &amp; Difference.”"</t>
  </si>
  <si>
    <t>The Berlin Program for Advanced German and European Studies offers up to one year of research support at the Freie Universität Berlin and is open to scholars in all social science and humanities disciplines, including historians working on the period since the mid-18th century.</t>
  </si>
  <si>
    <t>Franklin Research Grants</t>
  </si>
  <si>
    <t>Fellowship in libraries and archives</t>
  </si>
  <si>
    <t>OTHER DEADLINE: October 1, December 3
"The Franklin program is particularly designed to help meet the costs of travel to libraries and archives for research purposes; the purchase of microfilm, photocopies, or equivalent research materials; the costs associated with fieldwork; or laboratory research expenses."</t>
  </si>
  <si>
    <t>Quentin Skinner Fellowship in Intellectual History Since 1500</t>
  </si>
  <si>
    <t>"In 2009 the Faculty of History [at University of Campbridge] received funding  from the International Balzan Prize Foundation to establish an annual Lecture in modern intellectual history since c. 1500. The Balzan-Skinner scholar held a Visiting Fellowship at CRASSH for one term during the academic year. He/she presented the Balzan-Skinner lecture and participated in the related symposium during the academic year of attendance. This fellowship is now known as the Quentin Skinner Fellowship in Intellectual History since c1500.  Like the Balzan-Skinner scholar the Quentin Skinner fellow will hold a Visiting Fellowship at CRASSH for one term, present the Quentin Skinner lecture, as well as organise and participate in the related symposium."</t>
  </si>
  <si>
    <t>Short-Term Fellowship</t>
  </si>
  <si>
    <t>$2,500/one month</t>
  </si>
  <si>
    <t>"Short-Term Fellowships provide opportunities for individuals who have a specific need for the Newberry’s collection. Postdoctoral scholars, PhD candidates, and scholars with terminal degrees who live and work outside of the Chicago metropolitan area are eligible."</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</si>
  <si>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Music invites twelve to fifteen musicians and composers from around the globe to come together for two and a half weeks each summer for a uniquely collaborative music making residency."</t>
  </si>
  <si>
    <t>A&amp;H
Creative Arts
Dance</t>
  </si>
  <si>
    <t>"Art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Dance brings together ten accomplished dance artists from around the world for three weeks of creative exchange each summer. Residents experience each other’s creative process and the freedom to play in this collaborative residency program."</t>
  </si>
  <si>
    <t xml:space="preserve">“The Berggruen Institute seeks to encourage a deeper understanding of the great political, economic, social, and cultural transformations that are reshaping the human condition, in order to better inform practical responses. It organizes and supports inquiries that bring multicultural and interdisciplinary knowledge to questions of governance, of philosophy and culture, and of global restructuring including especially the role of China. 
To this end, USC Dornsife College of Letters, Arts and Sciences and the Berggruen Institute will sponsor up to ten (10) fellowships at the University of Southern California for the academic year 2019-20.”  </t>
  </si>
  <si>
    <t>Art Omi: Dance Residency</t>
  </si>
  <si>
    <t>A&amp;H
 Creative Arts
 Dance</t>
  </si>
  <si>
    <t>Art Omi: Music Residency</t>
  </si>
  <si>
    <t>Sciences
History of science</t>
  </si>
  <si>
    <t>$45,000/year for two years</t>
  </si>
  <si>
    <t>"The Beckman Center offers fellowships on an annual cycle for scholars doing research in the history and social studies of chemistry and related sciences, technologies, and industries. Fellows are expected to participate in biweekly informal writing groups and give at least one lunchtime lecture. They also have the opportunity to take part in a variety of outreach activities while in residence at CHF. About 20 fellowships are given out annually, making the Beckman Center the largest private fellowship program in the history of science in the United States."</t>
  </si>
  <si>
    <t xml:space="preserve">"Yearlong residencies at San José State University in San José, California, which include a stipend of $15,000 each, are given annually to fiction writers and creative nonfiction writers. The fellows will give one public reading each semester and must live in the San José area during the academic year." </t>
  </si>
  <si>
    <t>APA Congressional Fellowship Program</t>
  </si>
  <si>
    <t>$75,000-90,000</t>
  </si>
  <si>
    <t>"The purpose of this fellowship is to provide psychologists with an invaluable public policy learning experience, to contribute to the more effective use of psychological knowledge in government and to broaden awareness about the value of psychology-government interaction among psychologists and within the federal government. Fellows spend one year working on the staff of a member of Congress or congressional committee. Activities may involve drafting legislation, conducting oversight work, assisting with congressional hearings and events, and preparing briefs and speeches. Fellows also attend a two-week orientation program on congressional and executive branch operations, which provides guidance for the congressional placement process, and participate in a yearlong seminar series on science and public policy issues. The American Association for the Advancement of Science (AAAS) administers these professional development activities for the APA fellows and for fellows sponsored by over two dozen other professional societies."</t>
  </si>
  <si>
    <t>Visiting Scholars Program</t>
  </si>
  <si>
    <t>travel, board, living allowance for one to four months</t>
  </si>
  <si>
    <t>"Visiting Scholar Awards provide academic, museum, and independent scholars, as well as doctoral students, working in any field related to British art an opportunity to study the Center’s collection."</t>
  </si>
  <si>
    <t>$6,000-$9,000</t>
  </si>
  <si>
    <t>"The Palestinian American Research Center (PARC) announces its 19th annual U.S. research fellowship competition for doctoral students or scholars who have earned their PhD and whose research will contribute to Palestinian studies. Research must take place in Palestine, Israel, Jordan, or Lebanon."</t>
  </si>
  <si>
    <t>5+ years experience</t>
  </si>
  <si>
    <t>$6,000/1 month</t>
  </si>
  <si>
    <t>"We select the best and the brightest practitioners in the field and award them a $6,000 stipend and a month of valuable, cutting-edge training. Our curriculum is delivered by a faculty of global experts who work closely with each carefully selected cohort of Fellows to explore new ways to apply market-based approaches to environmental issues.
With our case study methodology, Fellows find new solutions to real life conservation challenges. Over the course of a month, Fellows attend dynamic sessions, participate in collaborative and independent projects, and enjoy a rich, multi-faceted experience."</t>
  </si>
  <si>
    <t>Language &amp; Area Studies</t>
  </si>
  <si>
    <t>mid-career/senior academic</t>
  </si>
  <si>
    <t>£5,000</t>
  </si>
  <si>
    <t>"These Fellowships are offered to support research in any area of the arts, humanities, or the social sciences that has relevance to the study of Islam or the Muslim world. Each Fellowship carries a grant of £5,000 and membership of the Common Room. The grant is intended as a supplementary award and may be held in conjunction with other research grants, stipends, or sabbatical salaries. Fellowships are tenable from 1 October for an academic year, though shorter periods will be considered."</t>
  </si>
  <si>
    <t>"overseen by Houghton Library, the Poetry Room features a circulating collection of 20th and 21st century English-language poetry, an encyclopedic array of poetry serials, the Blue Star collection of rare books, broadsides, chapbooks, and typescripts, and a landmark collection of audio recordings (1933 to the present)....
The WPR Creative Fellowship invites poets, writers, multimedia artists, and scholars of contemporary poetry to propose creative projects that would benefit from the resources available in the room and to generate new work that further actualizes the Poetry Room's collectionsâ€”particularly the audio-video archive.  In addition to conducting research and pursuing projects, the WPR fellow will be asked to present a works-in-progress event in conjunction with the Poetry Room’s public programming season and/or to contribute a work or drafts (produced during the fellowship) to the WPR archive. The recipient is expected to work on-site at the Woodberry Poetry Room for at least 10 days during the Harvard academic year."</t>
  </si>
  <si>
    <t>"Houghton Library is pleased to offer short-term visiting fellowships to assist scholars with the cost of travel and accommodation to come and pursue their research at the library....
The collections of Houghton Library touch upon almost every aspect of the human record, particularly the history and culture of Europe and North America, and include special concentrations in the history of printing and of theater. Materials held here range from medieval manuscripts and early printed books to the working papers of living writers. Fellows will also have access to collections in Widener Library as well as to other libraries at the University. Preference is given to scholars whose research is closely based on materials in Houghton collections, especially when those materials are unique; and we particularly welcome proposals for research projects drawing on our holdings related to Africa, the Americas, Asia, and Oceania, and to histories of marginalized people; fellowships are normally not granted to scholars who live within commuting distance of the library. Each fellow is expected to be in residence at Houghton for at least four weeks."</t>
  </si>
  <si>
    <t>HURI/Ukrainian Studies Research Fellowships</t>
  </si>
  <si>
    <t>8-10 years postdoc especially encouraged to apply</t>
  </si>
  <si>
    <t>$4,400/month plus travel</t>
  </si>
  <si>
    <t xml:space="preserve">The Institute's Research Fellowships “bring scholars from the international academic community to Harvard for focused research on projects in Ukrainian history, literature, philology, culture, and other related areas of study in the humanities and social sciences fields. In addition to carrying out their own research in residence, fellows participate in the scholarly life of the University during Harvard's academic year, and offer a formal presentation based on original research.”  </t>
  </si>
  <si>
    <t>$4200/month for 4-12 months</t>
  </si>
  <si>
    <t>A period of residence to use the AAS library's resources for research and writing.</t>
  </si>
  <si>
    <t>Short-Term Research Fellowship</t>
  </si>
  <si>
    <t>$1,750/month</t>
  </si>
  <si>
    <t>"Founded by Henry Francis du Pont, Winterthur (pronounced “winter-tour”) is the premier museum of American decorative arts, reflecting both early America and the du Pont family’s life here. Its 60-acre naturalistic garden is among the country’s best, and its research library serves scholars from around the world." ... "Academic, museum, and independent scholars, including graduate students receive one- to three-month short term fellowships."</t>
  </si>
  <si>
    <t>"Founded by Henry Francis du Pont, Winterthur (pronounced “winter-tour”) is the premier museum of American decorative arts, reflecting both early America and the du Pont family’s life here. Its 60-acre naturalistic garden is among the country’s best, and its research library serves scholars from around the world." ... "These 1-3 month fellowships are designed for artists, writers, filmmakers, horticulturalists, craftspeople, and others who wish to examine, study, and immerse themselves in Winterthur’s vast collections in order to inspire creative and artistic works for general, non-academic audiences. The aim of this initiative is to open our collections to a wider audience who can interpret the past and our collections in unique and imaginative ways outside of traditional academic avenues."</t>
  </si>
  <si>
    <t>$500/week</t>
  </si>
  <si>
    <t>"The John Carter Brown Library seeks to encourage collaboration among scholars as they explore and shed light on the Library's collections by providing support for group projects. Collaborative Cluster Fellowships are meant to expand the disciplinary scope of research at the Library and support cutting-edge research methods."</t>
  </si>
  <si>
    <t>$45,000/ 9 months</t>
  </si>
  <si>
    <t>"The Margaret Henry Dabney Penick Resident Scholar Program supports scholarly research into the legacy of Patrick Henry and his political circle, the early political history of Virginia, the history of the American Revolution, founding era ideas and policy-making, as well as science, technology, and culture in colonial America and the Early National Period.... Senior scholars are particularly encouraged to apply, but all applicants must hold a PhD to be awarded the fellowship."</t>
  </si>
  <si>
    <t>"The New York State Archives announces the availability of awards for qualified applicants to conduct research using historical records in the Archives. The Larry J. Hackman Research Residency Program is intended to support advanced work on New York State history, government, or public policy by defraying travel-related research expenses. It encourages public dissemination of research products."</t>
  </si>
  <si>
    <t xml:space="preserve"> monthly per diem commensurate with academic status that 
provides for round-trip economy airfare.</t>
  </si>
  <si>
    <t>Available to American postdoctoral scholars, faculty and senior scholars worldwide with a minimum stay of four months and maximum stay of 10 months.</t>
  </si>
  <si>
    <t>Congressional Science Fellowships</t>
  </si>
  <si>
    <t>"Fellowships are for one year, usually running September through August. Following a two-week orientation in Washington sponsored by the American Association for the Advancement of Science, incoming Congressional Fellows become acquainted with most aspects of their future work environment. Following interviews on the Hill, Fellows choose a congressional office — personal or committee staff — where they wish to serve. Fellows are expected to be capable of handling varied assignments, both technical and non-technical.
The Program's popularity with Members of Congress continues to grow. Typically, 150-200 congressional offices express interest in the 200-300 fellows who participate in the AAAS fellowship program. Former fellows express enthusiasm in their evaluations, and many elect to stay in the public policy arena; it is not unusual to find former fellows in influential positions in Washington."</t>
  </si>
  <si>
    <t>higher ed</t>
  </si>
  <si>
    <t>"In the interest of promoting scholarly research on all aspects of Middle Eastern and Islamic studies, the Center for Middle Eastern Studies appoints a small number of Visiting Researchers each academic year. Their work covers a wide range of fields, including anthropology, religion, history, political science, economics, and literature. The Visiting Researchers contribute to a lively community at CMES that encourages interdisciplinary contact."</t>
  </si>
  <si>
    <t>Language and Area Studies
Africa &amp; African American</t>
  </si>
  <si>
    <t>one or two semesters</t>
  </si>
  <si>
    <t>"The Fellows Program is at the heart of the activities of the W. E. B. Du Bois Research Institute. Started in 1975 as the W. E. B. Du Bois Institute for African and African American Research, the Institute has annually appointed scholars who conduct individual research for a period of one to two semesters in a wide variety of fields related to African and African American Studies."</t>
  </si>
  <si>
    <t>NYSCA/NYFA Artists’ Fellowships</t>
  </si>
  <si>
    <t>&lt;$10,500</t>
  </si>
  <si>
    <t>"The Council of American Overseas Research Centers Multi-Country Research Fellowship Program supports advanced regional or trans-regional research in the humanities, social sciences, or allied natural sciences for U.S. doctoral candidates and scholars who have already earned their Ph.D. Preference will be given to candidates examining comparative and/or cross-regional research. Scholars must carry out research for a minimum of 90 days in two or more countries outside the United States, at least one of which hosts a participating American overseas research center. Funding is provided by the State Department's Bureau of Educational and Cultural Affairs."</t>
  </si>
  <si>
    <t>Multi-Country Research Fellowship</t>
  </si>
  <si>
    <t>up to $10,500</t>
  </si>
  <si>
    <t>postdoctoral scholars</t>
  </si>
  <si>
    <t>$4,200/month for 4 months</t>
  </si>
  <si>
    <t>Andrew W. Mellon Mediterranean Regional Research Fellowship Program</t>
  </si>
  <si>
    <t>APPLICATION INFO NOT AVAILABLE as of 2.20.19
To support research in the humanities and social sciences in the Mediterranean region. Applicants may be PhD candidates or early career professors.</t>
  </si>
  <si>
    <t>Research Fellowship and Award</t>
  </si>
  <si>
    <t>General
Gender studies</t>
  </si>
  <si>
    <t>"To promote the interpretation of Virginia history and access to its collections, the Virginia Historical Society, funded by a matching grant from the Andrew W. Mellon Foundation and gifts from individuals, offers fellowships of up to three weeks a year....
There are three general categories of fellowships:
Andrew W. Mellon Research Fellowships cover the broad sweep of Virginia and American history, for example, supporting research on political, constitutional, religious, African American, military, and social issues.
The Betty Sams Christian Fellowships in business history cover studies in economic history, trade, industrial and commercial subjects, and labor relations.
The Frances Lewis Fellowships in Gender and Women's Studies support work in gender roles and the history of women."</t>
  </si>
  <si>
    <t>General
Race studies
Gender studies</t>
  </si>
  <si>
    <t>"We welcome applications from scholars in the humanities. We are interested in research projects across the spectrum of the humanities that examine the origins, evolution, impact and legacy of race, difference, and the modern quest for civil and human rights. We also support research projects that examine race and ethnicity and its points of intersection with other identities and movements addressing differences along gender, class, religious, or sexual lines."</t>
  </si>
  <si>
    <t xml:space="preserve">A&amp;H
Translation </t>
  </si>
  <si>
    <t>Published</t>
  </si>
  <si>
    <t>none</t>
  </si>
  <si>
    <t>travel stipend</t>
  </si>
  <si>
    <t>Social Science
Language and Area Studies
Eastern Europe &amp; former Soviet Union</t>
  </si>
  <si>
    <t>$3,500/month for 2-9 months</t>
  </si>
  <si>
    <t>Summer grants = $7,000 for two months
"The Kennan Institute seeks fellowship applicants from diverse, policy-oriented sectors such as media, business, local government, law, civil society, and academia to examine important political, social, economic, cultural, and historical issues in Russia, Ukraine, and the region. Among the aims of the new fellowships are to build bridges between traditional academia and the policy world, as well as to maintain and increase collaboration among researchers from Russia, Ukraine, the U.S., and around the globe."</t>
  </si>
  <si>
    <t>4+ years postdoc</t>
  </si>
  <si>
    <t>"UConn’s Humanities Fellowships are opportunities for individuals to pursue advanced work in the humanities. Projects may contribute to scholarly knowledge or to the general public’s understanding of the humanities. Recipients are expected to produce scholarly articles, a monograph on a specialized subject, a book on a broad topic, an archaeological site report, a translation, an edition, or other scholarly tools."
Storrs, CT</t>
  </si>
  <si>
    <t xml:space="preserve">Tytus Fellowship Program </t>
  </si>
  <si>
    <t>$1,500 plus housing and transportation</t>
  </si>
  <si>
    <t>"Senior scholars are invited to apply for the Margo Tytus Visiting Scholars Program. Applicants for this program will ordinarily be a minimum of five years beyond receipt of the Ph.D., with notable publication histories. Tytus Scholars are expected to be in residence at the University of Cincinnati for a minimum of one semester (ca. four months) and a maximum of two during the regular academic year"</t>
  </si>
  <si>
    <t>monthly stipend, housing, work space</t>
  </si>
  <si>
    <t>DEADLINE for VISUAL ARTISTS is 2/1, WRITERS is 12/1
"The Fine Arts Work Center offers a unique residency for writers and visual artists in the crucial early stages of their careers. Located in Provincetown, Massachusetts, an area with a long history as an arts colony, the Work Center provides seven-month Fellowships to twenty Fellows each year in the form of living/work space and a modest monthly stipend. Residencies run from October 1 through April 30. Fellows have the opportunity to pursue their work independently in a diverse and supportive community of peers."</t>
  </si>
  <si>
    <t>"one award of six months for post-doctoral scholars at the institute in Amman through the National Endowment for the Humanities (NEH). The fellowship supports research in the humanities and disciplines of the social sciences that have humanistic content and employ humanistic methods. Fields of research include modern and classical languages, linguistics, literature, history, jurisprudence, philosophy, archaeology, comparative religion, ethics, and the history, criticism, and theory of the arts. Social and political scientists are encouraged to apply. Research topics should contribute to scholarship in Near Eastern studies."</t>
  </si>
  <si>
    <t>Social Sciences
Economics</t>
  </si>
  <si>
    <t>Language and Area Studies
Latin America</t>
  </si>
  <si>
    <t>$25,000 for one or two semesters plus up to $3,000 in travel expenses</t>
  </si>
  <si>
    <t>Each year the David Rockefeller Center for Latin American Studies (DRCLAS) selects a number of distinguished academics (Visiting Scholars) and professionals (Fellows) who wish spend one or two semesters at Harvard working on their own research and writing projects. Visiting Scholars and Fellows are selected competitively on the basis of the applicant's qualifications, the quality of the applicant's research plans, and the relevance of both to the Center's mission and objectives.</t>
  </si>
  <si>
    <t>$5,000/month</t>
  </si>
  <si>
    <t>"Harvard Law School's Islamic Legal Studies Program: Law and Social Change invites applications for Visiting Fellowships for the 2018-2019 academic year. This fellowship provides opportunities for outstanding scholars and legal practitioners to undertake research, writing, and scholarly engagement on Islamic law that furthers the Program's mission. We are particularly interested in applicants whose work focuses on human rights, women’s rights, children’s rights, minority rights, animal welfare and rights, constitutional law, food law, environmental law and climate change in particular, migration and refugee studies, LGBTQ issues, and related areas.
We welcome applicants with a JD, LLM, SJD, PhD or other comparable degree who are interested in spending from one month up to one year in residence at Harvard Law School working on an independent project."</t>
  </si>
  <si>
    <t>"The Japan U.S. Friendship Commission offers leading contemporary and traditional artists from the United States the opportunity to spend three to five months in Japan through the U.S.-Japan Creative Artists Program.  Artists go as seekers, as cultural visionaries, and as living liaisons to the traditional and contemporary cultural life of Japan.  They also go as connectors who share knowledge and bring back knowledge. Their interaction with the Japanese public and the outlook they bring home provide exceptional opportunities to promote cultural understanding between the United States and Japan."</t>
  </si>
  <si>
    <t>"The Mary Baker Eddy Library awards fellowships annually. These are designed to support original contributions to scholarship. They help further the research of established scholars, graduate students, and recent graduates just beginning their academic careers.
Fellowships are for research work in our collections, centering on the papers of Mary Baker Eddy and records documenting the history of the Christian Science movement. Relevant areas of research include the fields of women’s history; spirituality and health; religious studies; nineteenth-century history; cultural and social history; architecture; and journalism."</t>
  </si>
  <si>
    <t>post-graduate scholars in all disciplines</t>
  </si>
  <si>
    <t>Tenured or tenure-track</t>
  </si>
  <si>
    <t>"The John W. Kluge Center and the Philip Lee Phillips Map Society at the Library of Congress invite qualified scholars to apply for a grant to conduct research for two months at the Kluge Center using the Geography and Map Division’s collections and resources.
The Philip Lee Phillips Society Fellowship will award $11,500 to selected scholars with the possibility of an additional $2,000 as an honorarium for a later lecture and publication.
The Geography and Map Division has custody of collections numbering over 5 million maps, 100,000 atlases, 8,000 reference works, over 5,000 globes and globe gores, 3,000 raised relief models and several terabytes of born digital geospatial data."</t>
  </si>
  <si>
    <t>Fellowship Awards in the Neurosciences</t>
  </si>
  <si>
    <t>$225,000/3 years</t>
  </si>
  <si>
    <t>&lt;3 years postdoc</t>
  </si>
  <si>
    <t>$1,500/month</t>
  </si>
  <si>
    <t>"The Society for French Historical Studies offers two research fellowships (up to $1,500 per award) for maintenance during research in France for a period of at least one month.... These awards are not for travel to or from France.  The proposed fields for research can include all areas of French historical and cultural studies."</t>
  </si>
  <si>
    <t>Lodging</t>
  </si>
  <si>
    <t>up to £32,000 (~$41,000)</t>
  </si>
  <si>
    <t>"The Newton International Fellowship Scheme was established in 2008 to select the very best early career postdoctoral researchers from all over the world, and enable them to work at UK research institutions for two years. The scheme is offered by the Royal Society, British Academy and Academy of Medical Sciences. Subjects covered: Physical sciences, natural sciences, social sciences, and the humanities. Eligible applicants for these disciplines can apply from any country outside the UK."</t>
  </si>
  <si>
    <t>"Established in 1957, the distinction of Fellow is the highest honor bestowed on individuals by SAA and is awarded for outstanding contributions to the archival profession."</t>
  </si>
  <si>
    <t>Visiting Faculty Fellowships</t>
  </si>
  <si>
    <t xml:space="preserve">The Centre for Ethics at the University of Toronto, an interdisciplinary centre aimed at advancing research and teaching in the field of ethics, broadly defined, welcomes applications from faculty at other universities and research institutes, regardless of discipline or field of study, who wish to spend the academic year as a Visiting Professor to conduct research related to the Centre’s mission “to bring together the theoretical and practical knowledge of diverse scholars, students, public servants and social leaders in order to increase understanding of the ethical dimensions of individual, social, and political life.” </t>
  </si>
  <si>
    <t>"The American Philosophical Society offers fellowships to scholars working to interpret archival materials through emerging technologies." ... "Scholars, including graduate students, at any stage of their career may apply. Special consideration will be given to proposals that present APS Library holdings in new and engaging ways. Examples include (but are not limited to) projects that incorporate timelines, text analytics, network graphs, and maps."</t>
  </si>
  <si>
    <t>"One- to two-month fellowships are available for Ph.D. candidates, holders of the Ph.D., and degreed independent scholars, within any field of study that requires using the collections of the APS Library." ... "The APS Library offers short-term residential fellowships for conducting research in its collections. We are a leading international center for research in the history of American science and technology and its European roots, as well as early American history and culture."</t>
  </si>
  <si>
    <t xml:space="preserve">Residency Program </t>
  </si>
  <si>
    <t>"The Ucross Foundation Residency Program offers the gift of time and space to competitively selected individuals working in all artistic disciplines.  The Foundation strives to provide a respectful, comfortable and productive environment, freeing artists from the pressures and distractions of daily life." Sheridan, Wyoming</t>
  </si>
  <si>
    <t>A&amp;H
Creative Arts
Library</t>
  </si>
  <si>
    <t>$2,500/month for 1-3 months</t>
  </si>
  <si>
    <t>"The Library Company of Philadelphia and The Historical Society of Pennsylvania will jointly award approximately twenty-five one-month fellowships for research in residence in either or both collections during the academic year 2017-2018. These two independent research libraries, adjacent to each other in Center City Philadelphia, have complementary collections capable of supporting research in a variety of fields and disciplines relating to the history of America and the Atlantic world from the 17th through the 19th centuries, as well as Mid-Atlantic regional history to the present."</t>
  </si>
  <si>
    <t>$25,000-50,000</t>
  </si>
  <si>
    <t>"The Mellon Scholars Fellowship Program aims to promote research in the collections of the Library Company and to enhance the production of scholarly work in African American history of the 17th, 18th, and 19th centuries. Fellows are expected to conduct the majority of their research in the Library Company’s collections but may also use the collections of the Historical Society of Pennsylvania. Fellows must be in residence for the entire term of the award. All fellowship applications are due March 1, 2017, with a decision by April 15. The following research fellowships will be offered for 2017-2018:
Post-doctoral fellowship, with a stipend of $50,000, is tenable from September 1, 2017 through May 31, 2018. The award may be divided between two applicants, each of whom would receive $25,000 for the period September 1, 2017 to January 15, 2018 or January 15, 2018 to May 31, 2018. Recent recipients of the Ph.D. as well as senior scholars may apply, but applicants must hold a Ph.D. by September 1, 2017."</t>
  </si>
  <si>
    <t>$1,750/month, plus room, travel, and research allowance</t>
  </si>
  <si>
    <t>"Junior and senior scholars from around the world with PhDs and publications in internationally recognized scholarly outlets are eligible for three- to ten-month fellowships at IAS CEU.
Fellowships are available for all scholarly work related to the historical, political or economic, and cultural relationship between the United States and present-day Austria or the countries that historically make up the Austro-Hungarian or Austrian Empires."</t>
  </si>
  <si>
    <t>"The National Endowment for the Arts Literature Fellowships program offers $25,000 grants in prose (fiction and creative nonfiction) and poetry to published creative writers that enable the recipients to set aside time for writing, research, travel, and general career advancement. The National Endowment for the Arts Literature Fellowships program operates on a two-year cycle with fellowships in prose and poetry available in alternating years."</t>
  </si>
  <si>
    <t>Texas Collection Wardlaw Fellowship</t>
  </si>
  <si>
    <t>$1,000-1,500</t>
  </si>
  <si>
    <t>"Fellowships are awarded to scholars pursuing significant research and advanced studies in the area of Texas history, culture, and literature. The research must be completed at The Texas Collection" in Waco, TX. The Hillman Research Fellowship also stipulates research of “Baptist missions and educational institutions in Latin America utilizing collections deposited in The Texas Collection.”</t>
  </si>
  <si>
    <t>"The American Folklife Center will invite applications and award several fellowships, up to $35,000 each, for the period July 1, 2019 – June 30, 2020, which will support new, original, independent field research into the culture and traditions of contemporary American workers and/or occupational groups found within the United States. These projects must include interviews with workers. Applicants must submit proposals via email. The original documentary materials generated during the course of each fellowship will become part of the American Folklife Center's archive. The American Folklife Center was established by Congress to support research and scholarship in American folklife and to preserve, support, revitalize, and disseminate American folk traditions. Materials in the Center's archive are available to researchers and the general public. Some may be posted to the Library of Congress website."</t>
  </si>
  <si>
    <t>"The Kierkegaard Library offers unpaid research fellowships to serious scholars for two to eight weeks in duration during the months of June and July. Acceptance includes extensive access to the Kierkegaard Library and the opportunity to use the other libraries and facilities of St. Olaf College. Free housing on campus is provided; all other costs are the responsibility of the scholar. Participants of the program include students at graduate level and seasoned scholars. Advanced undergraduates are encouraged to apply to the Young Scholars Program.The program entitles scholars to use the resources of the Kierkegaard Library while attending required activities that include: attend guest lectures, peer presentations, and participate in scholar seminars twice a week. The atmosphere encourages sharing of academic thoughts and opinions in relation to Kierkegaard’s writing and ideals."</t>
  </si>
  <si>
    <t>£2,000</t>
  </si>
  <si>
    <t>"The Society will to consider providing up to £2,000 per year to support a visit by a foreign scholar actively working on French history to UK or Irish HE institutions. The objective is to foster international contact between scholars of the subject and the UK’s role within it. 
The scheme is open to bona fide scholars actively working at, or with a clearly defined relationship to, a recognised institute of higher education outside the UK.
The proposed host institution in the UK or the Irish Republic must demonstrate that it is committed to underwriting the essential costs of the visit in terms of the provision of office accommodation, academic support and, where appropriate, contributions to the costs of lodging and transport. 
Applicants themselves must show that they have a clear programme of research which will involve collaboration with scholars in the UK."</t>
  </si>
  <si>
    <t>$600-$1,800</t>
  </si>
  <si>
    <t>"This summer fellowship has been offered since 2016. Gifts from the Friends of Ludwig Koenen, a former President of the SCS, as well as matching funds from the National Endowment for the Humanities have been added to the Society’s Endowment for Classics Research and Teaching.  The Finance Committee determines the amount of income derived from these contributions that will be available each year to support training in papyrology, and applications will be reviewed by a committee consisting of three members, one appointed by the Vice President for Education, one appointed by the Vice President for Publications and Research, and one appointed by the American Society of Papyrologists. The competition is open to graduate students, postdoctoral fellows, and untenured faculty. Applicants must be SCS members,"</t>
  </si>
  <si>
    <t>€3,000/month</t>
  </si>
  <si>
    <t>“Fernand Braudel Senior Fellowships provide a framework for established academics with an international reputation to pursue their research at the EUI. Fellowships last for up to ten months in one of the EUI's four Departments which in turn invite fellows to participate in departmental activities (seminars, workshops, colloquia, etc.). Fellows are encouraged to make contact with researchers sharing their academic interests, may be involved in the teaching and thesis supervision tasks of EUI professors, and associated with one of the research projects being carried out at the EUI.”</t>
  </si>
  <si>
    <t>$21,250 for 6-9 months</t>
  </si>
  <si>
    <t>"The Fellowships in Aerospace History are offered annually by the National Aeronautics Space Administration (NASA) to support significant scholarly research projects in aerospace history. These fellowships grant the opportunity to engage in significant and sustained advanced research in all aspects of the history of aerospace from the earliest human interest in flight to the present, including cultural and intellectual history, economic history, history of law and public policy, and the history of science, engineering, and management. NASA provides funds to the American Historical Association, the History of Science Society, and the Society for the History of Technology to allow each association to award a fellowship. Applications will be entered into consideration for all three fellowships.... The fellow will be expected to devote the term entirely to the proposed research project. Residency is not required."</t>
  </si>
  <si>
    <t>"Competitive fellowships supported by the Kress Foundation are awarded to art historians and art conservators in the final stages of their preparation for professional careers, as well as to students of art history and related fields who are interested in art museum education and curating. To learn more about a particular fellowship and how to apply, select a program below."</t>
  </si>
  <si>
    <t>J Franklin Jameson Fellowship</t>
  </si>
  <si>
    <t>"The J. Franklin Jameson Fellowship in American History is offered annually by the John W. Kluge Center at the Library of Congress and the American Historical Association to support significant scholarly research in the collections of the Library of Congress by scholars at an early stage in their careers in history."</t>
  </si>
  <si>
    <t>"King’s College London offers the award of a bursary to support original research on the Royal Archives at Windsor Castle for up to a month during the summer. These bursaries are open to all researchers. The Programme is promoting and developing a research programme in support of the digitization of some 350,000 pages of original archives. Fellows will undertake their own research and also be invited by staff of the Georgian Papers Programme to share their insights into the collection and join with fellows from other schemes at a number of events as part of a growing academic cohort."
"The School lies at the heart of a global research community, acting both as a national hub for advanced level research into the humanities and social sciences and an international meeting point and research resource for scholars from all over the world.
Each year the School welcomes around 140 visiting research fellows who benefit from its unique research resources and multidisciplinary scholarly community."</t>
  </si>
  <si>
    <t xml:space="preserve">
1.31.19</t>
  </si>
  <si>
    <t>Postdoctoral Fellowships</t>
  </si>
  <si>
    <t>Fellowship on site (most likely)</t>
  </si>
  <si>
    <t>&lt;5 years post doc</t>
  </si>
  <si>
    <t>€2111.09/month</t>
  </si>
  <si>
    <t>"The musée du quai Branly – Jacques Chirac offers every year doctoral and post-doctoral fellowships to support Ph.D. candidates and early career scholars in pursuing innovative research projects. 
The academic fields concerned are: anthropology, ethnomusicology, art history, history, archaeology, sociology, performance studies.
The research topics concerned are: Western and non-Western arts, material and immaterial heritage, museum institutions and their collections, technology, ritual performance and material culture.
The projects most likely to benefit from the environment of the musée du quai Branly – Jacques Chirac will be examined with particular attention....
Five postdoctoral fellowships are offered to early career scholars to collectively develop a one year research program on the theme “value and materialities”. Each of these terms must be understood in its broader sense to account for all their possible relations, the museum collection being one of its modalities."</t>
  </si>
  <si>
    <t>$10,000 stipend, housing, and an editorial apprenticeship</t>
  </si>
  <si>
    <t>"Writers of any genre are invited to apply. The proposed project must be for a debut book of creative nonfiction. The manuscript may, however, be in any stage of development: draft, agency representation, contracted, or not. For the purposes of this fellowship, creative nonfiction is defined as literary journalism, memoir, reportage, criticism, or the lyric essay.
To be eligible, writers must not be in an academic program and must be willing and able to relocate to the Little Rock/North Little Rock area during the fellowship’s season. The editorial fellow must also have an interest in the making of magazines and be willing to contribute at the Oxford American offices for approximately 20 hours a week as a member of the editorial staff. "</t>
  </si>
  <si>
    <t>$5,000/month for 6-12 months</t>
  </si>
  <si>
    <t>"Fellowships support individuals pursuing advanced research that is of value to humanities scholars, general audiences, or both. Recipients usually produce articles, monographs, books, digital materials, archaeological site reports, translations, editions, or other scholarly resources in the humanities."</t>
  </si>
  <si>
    <t>"NIAS offers individual fellowships to scholars who wish to carry out advanced research in the humanities and the social sciences. For five or ten months, scholars are offered the time and space to work on a topic of their own choice. Scholars must have at least 3 years of post-Ph.D. degree academic experience and have already made a considerable contribution to their field. The fellowships provide a stipend and housing accommodations."</t>
  </si>
  <si>
    <t>$1,500/four weeks</t>
  </si>
  <si>
    <t>"This fellowship supports research in American religious history involving the collections of the Boston Athenaeum and the Congregational Library &amp; Archives."</t>
  </si>
  <si>
    <t>"The Russell Berrie Fellowship targets priests, women religious, and members of the laity for the purpose of studying at the Angelicum to obtain a Licence Degree or a Diploma in Interreligious Studies. This program is a timely initiative at the Pontifical University of St. Thomas Aquinas (Angelicum). The goal of the Fellowship Program is to build bridges between Christian, Jewish, and other religious traditions by providing the next generation of religious leaders with a comprehensive understanding of and dedication to interfaith issues."  The fellowship is administered by the Institute of International Education (IIE).</t>
  </si>
  <si>
    <t>Yale University LGBT Studies Research Fellowship</t>
  </si>
  <si>
    <t>Social Science
Gender studies</t>
  </si>
  <si>
    <t>"Lesbian, Gay, Bisexual, and Transgender Studies at Yale University is proud to announce the second annual Yale LGBT Studies Research Fellowship. The Fellowship is offered annually, and is designed to provide access to Yale resources in LGBT Studies for scholars who live outside the greater New Haven area. 
Scholars from across the country and around the world are invited to apply for the Yale LGBT Studies Research Fellowship. This fellowship supports scholars from any field pursuing research in lesbian, gay, bisexual, transgender, and/or queer studies at Yale University, utilizing the vast faculty resources, manuscript archives, and library collections available at Yale. Graduate students conducting dissertation research, independent scholars, and all faculty are invited to apply. Scholars residing within 100 miles of New Haven are ineligible."</t>
  </si>
  <si>
    <t>Fellowships for Advanced Social Science Research in Japan</t>
  </si>
  <si>
    <t>"The Fellowships for Advanced Social Science Research on Japan program is a joint activity of the Japan-U.S. Friendship Commission (JUSFC) and the National Endowment for the Humanities. Awards support research on modern Japanese society and political economy, Japan's international relations, and U.S.-Japan relations. The program encourages innovative research that puts these subjects in wider regional and global contexts and is comparative and contemporary in nature. Research should contribute to scholarly knowledge or to the general public’s understanding of issues of concern to Japan and the United States. Appropriate disciplines for the research include anthropology, economics, geography, history, international relations, linguistics, political science, psychology, public administration, and sociology. Awards usually result in articles, monographs, books, digital materials, archaeological site reports, translations, editions, or other scholarly resources."</t>
  </si>
  <si>
    <t xml:space="preserve">"The fellowship is awarded to scholars and writers to facilitate research and the production of works of literature that utilize the collections of the State Library of Victoria and the University of Melbourne. The reward will assist with travel, living and research expenses for three to six months. Fellows will be based at the State Library of Victoria. During the fellowship period, fellows will be expected to pursue their own project, present a lecture or short seminar series open to the public, library and university communities, and submit a brief report at the conclusion of their fellowship. The fellow’s project may be in any discipline or area in which the library and the university have strong collections, including East Asian Studies, Engineering, Architecture, history, music, visual arts, and more." </t>
  </si>
  <si>
    <t>$1,000/week AUD
$700/week AUD for accommodations
travel support</t>
  </si>
  <si>
    <t>"The National Library of Australia offers a range of Fellowships and Scholarships for established and emerging researchers, practising writers and creative artists, and younger scholars. These are designed to stimulate sustained scholarly, literary and artistic use of our collections, and promote lively interaction within the Library’s community.  Through the program, researchers gain in-depth access to Library collections and staff expertise, financial assistance, and uninterrupted time for research in a respected and supportive scholarly environment." "The National Library of Australia Fellowships support researchers to make intensive use of the Library’s rich and varied collections over a sustained period of three months."</t>
  </si>
  <si>
    <t>"The Institute of Modern Languages Research offers opportunities for visiting scholars, with or without funding, to conduct research into any field relevant to the work of the Institute."</t>
  </si>
  <si>
    <t>"The Rockefeller Foundation Bellagio Center Residency Program offers academics, artists, thought leaders, policymakers, and practitioners a serene setting conducive to focused, goal-oriented work, and the unparalleled opportunity to establish new connections with fellow residents from a wide array of backgrounds, disciplines, and geographies."</t>
  </si>
  <si>
    <t>early career &lt;10 years postdoc</t>
  </si>
  <si>
    <t>"By providing funds for scholars to devote themselves to full-time work on a research-related film, the Foundation aims to enable a new generation of scholars to present their work via this medium. Broadly speaking, we seek to support projects that will have an impact on the field of anthropology -- as well as outreach beyond the academy -- through the support of exciting new and innovative work in the field of ethnographic film."</t>
  </si>
  <si>
    <t>Hunt Postdoctoral Fellowships</t>
  </si>
  <si>
    <t>Social Science
Anthropology and Archeology</t>
  </si>
  <si>
    <t>"By providing funds for scholars to devote themselves full-time to writing, the Foundation aims to enable a new generation of scholars to publish significant works that will impact the development of anthropology. The program contributes to the Foundation's overall mission to support basic research in anthropology and to ensure that the discipline continues to be a source of vibrant and significant work that furthers our understanding of humanity's cultural and biological origins, development, and variation. The Foundation supports research that demonstrates a clear link to anthropological theory and debates."</t>
  </si>
  <si>
    <t>&lt;$217,400 for up to 3 years</t>
  </si>
  <si>
    <t>Search on website for each year's fellowship page
"Fellowship program is intended to equip recently tenured philosophers and theologians with the skills and knowledge needed to study Big Questions that require substantive and high-level engagement with empirical science.
Each ACT Fellowship will provide up to $217,400 for up to 3 contiguous years of support for a systematic and sustained course of study in an empirical science such as physics, psychology, biology, genetics, cognitive science, neuroscience, or sociology. Acceptable courses of study might range from a plan to audit undergraduate and graduate-level courses to a plan to earn a degree in an empirical science. Fellows may undertake their study at their home institution or another institution. All fellows must have a faculty mentor in their cross-training discipline."</t>
  </si>
  <si>
    <t>"Gilder Lehrman fellowships support research at archives in New York City.
The Institute provides annual short-term research fellowships in the amount of $3000 each to doctoral candidates, college and university faculty at every rank, and independent scholars working in the field of American history."</t>
  </si>
  <si>
    <t>10,000 plus travel</t>
  </si>
  <si>
    <t>"The Einstein Forum and the Daimler and Benz Foundation are offering a fellowship for outstanding young thinkers who wish to pursue a project in a different field from that of their previous research. The purpose of the fellowship is to support those who, in addition to producing superb work in their area of specialization, are also open to other, interdisciplinary approaches – following the example set by Albert Einstein.
The fellowship includes living accommodations for five to six months in the garden cottage of Einstein`s own summerhouse in Caputh, Brandenburg, only a short distance away from the universities and academic institutions of Potsdam and Berlin."</t>
  </si>
  <si>
    <t>OTHER DEADLINE: May 15, October 15
"DAAD grants provide foreign academics and scientists with an opportunity to carry out research and continue their education in Germany. The aim of this particular programme is to support short-term research stays and thus promote the exchange of experience and networking amongst colleagues. Research stays can be funded at state or state-recognised institutions of higher education or non-university research institutes in Germany and last one to three months, providing monthly payments as well as travel allowances."</t>
  </si>
  <si>
    <t>$3,500/month for 3-9 months</t>
  </si>
  <si>
    <t>"Funding is available to scholars who will be using materials from the Libraries’ major holdings in American popular culture. These holdings include the Albert Johannsen and Edward T. LeBlanc Collections of more than 50,000 dime novels, and the nation’s preeminent collections related to Horatio Alger, Jr., and Edward Stratemeyer. Eligible collections also include our comic book, science fiction and fantasy literature, and American Popular Literature Collections. Topics which could draw on the collections’ strengths might include the plight of urban children, image of the American West in popular literature, widespread use of pseudonyms, and stereotypical portrayals. Preference will be given to applicants who signify an interest in conducting research related to Horatio Alger, Jr."</t>
  </si>
  <si>
    <t>"The Institute of Commonwealth Studies is the only postgraduate academic institution in the United Kingdom devoted to the study of the Commonwealth. Its purpose is to promote inter-disciplinary and inter-regional research on the Commonwealth and its member nations in the fields of history, politics, economics and other social sciences, and in subjects like development, environment, health, migration, class, race, and literature."</t>
  </si>
  <si>
    <t>"An award to be given annually for a graduate student, an academic, or an independent scholar for work on a dissertation, a first book manuscript, or a second book manuscript. The CLAGS Fellowship is open to intellectuals contributing to the field of LGBTQ studies. Intended to give the scholar the most help possible in furthering their work, the fellowship will be able to be used for research, travel, or writing support."</t>
  </si>
  <si>
    <t>housing, meals, work space</t>
  </si>
  <si>
    <t>"Hedgebrook is on Whidbey Island, about thirty-five miles northwest of Seattle. Situated on 48-acres of forest and meadow facing Puget Sound, with a view of Mount Rainier, the retreat hosts writers from all over the world for residencies of two to six weeks, at no cost to the writer.
Six writers are in residence at a time, each housed in a handcrafted cottage. They spend their days in solitude – writing, reading, taking walks in the woods on the property or on nearby Double Bluff beach. In the evenings, they gather in the farmhouse kitchen to share a home-cooked gourmet meal, their work, their process and their stories. The Writers in Residence Program is Hedgebrook’s core program, supporting the fully-funded residencies of approximately 40 writers at the retreat each year."</t>
  </si>
  <si>
    <t>DIVISIONS HAVE OTHER DEADLINES, including several on February 4, April 1, May 1, June 3, July 16
"The criterion for election is exceptional contributions to the physics enterprise; e.g., outstanding physics research, important applications of physics, leadership in or service to physics, or significant contributions to physics education. Fellowship is a distinct honor signifying recognition by one's professional peers."</t>
  </si>
  <si>
    <t>OTHER DEADLINE: February 15, June 15, October 1
Non-fellowship applications accepted on a rolling basis.
"the largest international artists' and writers' residency program in the United States. Our mission is to provide studio residencies in an inclusive, international community, honoring creative work as the communication of spirit through form."
"We offer over 120 fellowships per year to artists and writers of outstanding talent. A fellowship covers the full cost of a VSC residency (some awards also include an additional stipend for travel/lost income/etc). 
At each of our three annual deadlines (February 15th, June 15th, and October 1st), our fellowship offerings change. In addition to some donor-driven awards with special eligibility requirements, there are always a number of general, merit-based VSC fellowships for which all applicants are considered."</t>
  </si>
  <si>
    <t>OTHER DEADLINE: June 15, October 15
"Logan Nonfiction fellows at the Carey Institute are provided all the necessary tools to complete their critical work. Lodging, work space, sophisticated technological support (including Wi-Fi, a state-of-the-art screening room and dedicated space, equipment and software for video, film and radio editing) and meals are provided. Fellows may also benefit from the mentorship of several board members and internationally renowned journalists.
We also help selected print fellows convert their work into audio, video or digital media through the expertise of our partners. The Institute is eager to convene issue-oriented conferences related  to our fellows’ projects to bring their reporting to policy-makers and other experts."</t>
  </si>
  <si>
    <t>OTHER DEADLINE: June 15, October 15
"The Logan Nonfiction Program seeks to address the public’s need for longform nonfiction to inform the policy debate essential to democracy.... 
Logan Nonfiction fellows at the Carey Institute are provided all the necessary tools to complete their critical work. Lodging, work space, sophisticated technological support (including Wi-Fi, a state-of-the-art screening room and dedicated space, equipment and software for video, film and radio editing) and meals are provided. Fellows may also benefit from the mentorship of several board members and internationally renowned journalists.
We also help selected print fellows convert their work into audio, video or digital media through the expertise of our partners. The Institute is eager to convene issue-oriented conferences related  to our fellows’ projects to bring their reporting to policy-makers and other experts."</t>
  </si>
  <si>
    <t>mid-career and established</t>
  </si>
  <si>
    <t>"The Russell Sage Foundation's Visiting Scholars Program provides a unique opportunity for select scholars in the social, economic and behavioral sciences to pursue their research and writing while in residence at the Foundation’s New York headquarters. Research carried out by Visiting Scholars constitutes an important part of the Foundation’s ongoing effort to analyze and understand the complex and shifting nature of social and economic life in the United States. While Visiting Scholars typically work on projects related to the Foundation’s current programs, a few scholars whose research falls outside these areas are occasionally invited as well. Descriptions of our prior Visiting Scholar classes along with summaries of their projects attest to the diversity of scholars, disciplines and projects selected."</t>
  </si>
  <si>
    <t>Henry Belin Du Pont Research Grants &amp; Exploratory Research Grants</t>
  </si>
  <si>
    <t>OTHER DEADLINES: March 31, June 30, October 31
"Administered by the Center for the History of Business, Technology and Society, Hagley invites serious researchers to apply for one of our grants to defray the costs of an extended stay intended to use our collections.
All grants require applicants to explain how their project will contribute new information to previous scholarship and how Hagley’s research materials are pertinent to their project.
Exploratory grants are limited to one week and Henry Belin du Pont research grants may be up to 8 weeks. Researchers who first apply for an exploratory grant may ask for a longer research grant if our collections warrant more attention. Anyone can apply for one of these research grants, but only advanced graduate students are eligible for our Henry Belin du Pont dissertation grant and the Jefferson Scholars/Hagley Library fellowship.  Scholars with a Ph.D. may also apply for a four- or eight-month NEH-Hagley Postdoctoral Fellowship."</t>
  </si>
  <si>
    <t>Scholar in Residence Fellowship</t>
  </si>
  <si>
    <t>General
Gender Studies</t>
  </si>
  <si>
    <t>OTHER DEADLINE: November 1, July 1
"The Scholars-in-Residence Program is designed to (1) encourage research and writing on the history, literature and culture of the of the LGBTQ community or other dynamic projects relating to the LGBTQ experience, broadly conceived; (2) to promote and facilitate interaction among the participants including fellows funded by other sources; (3) to facilitate the dissemination of the researcher’s findings through lectures via CLAGS’s ongoing Events Series. Applicants must indicate in their proposal how these resources will specifically benefit their project."
"The CLAGS Scholar-in-Residence will be allowed to spend up to six months in residence.  Beyond a CLAGS affiliation, Fellows will receive office space, access to libraries and electronic databases, as well as opportunities to meet and work with leading LGBTQ scholars in New York City."</t>
  </si>
  <si>
    <t>Maintenance stipend per month: Rs 74,750
Research and travel per month:Rs 29,250
Dollar supplement per month: $115
Per dependent allowance per month:Rs 13,000</t>
  </si>
  <si>
    <t>"Senior Research Fellowships are available to scholars with a PhD or its equivalent. These grants are designed to enable scholars who specialize in South Asia to pursue further research in India and to establish formal affiliation with an Indian institution. Short-term awards are available for up to four months. Long-term awards are available for six to nine months. A limited number of humanists will be granted fellowships paid in dollars funded by the National Endowment for the Humanities....
Senior Scholarly/Professional Development Fellowships are available both to established scholars who have not previously specialized in Indian studies and to established professionals who have not previously worked or studied in India. Senior Scholarly/Professional Development Fellows are formally affiliated with an Indian institution. Awards may be granted for periods of six to nine months.
Senior Performing and Creative Arts Fellowships are available to accomplished practitioners of the performing arts of India and creative artists who demonstrate that study in India would enhance their skills, develop their capabilities to teach or perform in the U.S., enhance American involvement with India’s artistic traditions or strengthen their links with peers in India."</t>
  </si>
  <si>
    <t>&lt;7 years postdoc</t>
  </si>
  <si>
    <t>$4,200/month for 4-11 months</t>
  </si>
  <si>
    <t>"The John W. Kluge Center at the Library of Congress invites qualified scholars to conduct research at the Kluge Center using the Library of Congress collections and resources for a period of four to eleven months....
The Kluge Center especially encourages humanistic and social science research that makes use of the Library's large and varied collections. Interdisciplinary, cross-cultural, or multi-lingual research is particularly welcome. Among the collections available to researchers are the world's largest law library and outstanding multi-lingual collections of books and periodicals. Deep special collections of manuscripts, maps, music, films, recorded sound, prints and photographs are also available."</t>
  </si>
  <si>
    <t>OTHER DEADLINE: April 30, August 31
"This scheme enables local and international scholars to undertake research for periods of normally no less than a fortnight and no more than six months in a well-supported and engaged research environment.
Fellows are provided with office space, computer facilities and library borrowing privileges, as well as access to research libraries and University facilities and events. There is no stipend associated with the fellowship. No financial support is offered for travel or residential accommodation. 
We welcome applications from researchers at every career stage from emergent to senior scholars. Fellows are expected to participate in the research cultures of the School and the Faculty through such activities as attending relevant research seminars, presenting work-in-progress and leading graduate masterclasses."</t>
  </si>
  <si>
    <t>Binational Research Tandem Program in the History of Knowledge and Knowledge Cultures</t>
  </si>
  <si>
    <t>€4,500-€6,000/month</t>
  </si>
  <si>
    <t>"the GHI in cooperation with the BMW Center for German and European Studies at Georgetown University is now offering German and North American scholars the opportunity to develop binational research tandems which link up two academics, one from Germany and one from North America, to work on projects on the history of knowledge, ideally ones which focus on the development of transatlantic perspectives on the issues they examine, and contain productive areas of overlap either in their topics or in their conceptual frameworks. The tandem program presents an excellent opportunity for scholars from Germany and North America to develop their expertise by collaborating closely, to work with additional resources and to make connections with others in their fields."</t>
  </si>
  <si>
    <t xml:space="preserve"> €40,800-€72,000</t>
  </si>
  <si>
    <t>"Areas of research the GHI is going to develop in the next years are "History of Knowledge," "Religion and Ethnicity," and "Spaces and Symbolic Boundaries." The institute has also developed a strong interest in "Digital history." Projects that address one of these fields or relate to them in any way are particularly welcome; we are, however, also happy to consider applications focusing on other topics.
The program is designed for postdoctoral, mid-career, and established historians from Germany and North America. In order to ensure successful collaboration, our preference is for applicants to already have identified their potential tandem partner. We welcome applications from both long-standing binational partnerships as well as from newly created partnerships for the purposes of the fellowship. Preference will also be given to candidates doing original research for a new book project."</t>
  </si>
  <si>
    <t>Half of salary or up to $90,000 for non-academics</t>
  </si>
  <si>
    <t>Language and Area Studies
Russia, Ukraine, and area</t>
  </si>
  <si>
    <t>$4,000/month for three months</t>
  </si>
  <si>
    <t>OTHER DEADLINE: March 1, September 1
"The Kennan Institute seeks fellowship applicants from diverse, policy-oriented sectors such as media, business, local government, law, civil society, and academia to examine important political, social, economic, cultural, and historical issues in Russia, Ukraine, and the region. Among the aims of the new fellowships are to build bridges between traditional academia and the policy world, as well as to maintain and increase collaboration among researchers from Russia, Ukraine, the U.S., and around the globe."
Open to non-citizens.</t>
  </si>
  <si>
    <t>"The Division of Earth Sciences (EAR) awards Postdoctoral Fellowships to recent recipients of doctoral degrees to carry out an integrated program of independent research and professional development.  Fellowship proposals must address scientific questions within the scope of EAR disciplines and must align with the overall theme for the postdoctoral program. The program supports researchers for a period of up to two years with fellowships that can be taken to the institution of their choice (including institutions abroad). The program is intended to recognize beginning investigators of significant potential, and provide them with research experience, mentorship, and training that will establish them in leadership positions in the Earth Sciences community."</t>
  </si>
  <si>
    <t>OTHER DEADLINES: January 15, April 15, September 15
"MacDowell encourages applications from artists representing the widest possible range of perspectives and demographics. Emerging and established artists may apply in the following disciplines: architecture, film/video arts, interdisciplinary arts, literature, music composition, theatre, and visual arts."</t>
  </si>
  <si>
    <t>€1040 plus book allowance</t>
  </si>
  <si>
    <t>OTHER DEADLINE: March 1, September 15
"The Franz Werfel Scholarship therefore addresses young university teachers who are primarily concerned with Austrian literature. The scholarship program initiated in 1992 is open to applicants from all over the world. A Werfel grant holder can work as a visiting researcher in a university department or carry out specialist studies in a library, archive or other research institution. It is not just a scholarship in terms of material support for up to 18 months, but by the inclusion of a range of follow-up measures, ensures longer term sustainability. Follow-up measures include:
Annual invitation to a relevant professional symposium
One-month research grant every three years
Postdoctoral fellowship
Habilitation grant
Publication grant"</t>
  </si>
  <si>
    <t>Fulbright U.S. Scholar Program</t>
  </si>
  <si>
    <t>"The Core Fulbright Scholar Program offers over 500 teaching, research or combination teaching/research awards in over 125 countries. Opportunities are available for college and university faculty and administrators as well as for professionals, artists, journalists, scientists, lawyers, independent scholars and many others. In addition to several new program models designed to meet the changing needs of U.S. academics and professionals, Fulbright is offering more opportunities for flexible, multi-country grants."</t>
  </si>
  <si>
    <t>Visiting Senior Fellowships</t>
  </si>
  <si>
    <t>$6,000-8,000 plus housing</t>
  </si>
  <si>
    <t>OTHER DEADLINE: March 21, September 21
"Fellowships are for full-time research, and scholars are expected to reside in Washington and to participate in the activities of the Center throughout the fellowship period. Lectures, colloquia, and informal discussions complement the fellowship program....
Paul Mellon and Ailsa Mellon Bruce Visiting Senior Fellowships are intended to support research in the history, theory, and criticism of the visual arts (painting, sculpture, architecture, landscape architecture, urbanism, prints and drawings, film, photography, decorative arts, industrial design, and other arts) of any geographical area and of any period. Visiting senior fellowship applications are also solicited from scholars in other disciplines whose work examines artifacts or has implications for the analysis and criticism of visual form."</t>
  </si>
  <si>
    <t>&lt;$60,000 per collaborator to $180,000
&lt;$21,000 project costs</t>
  </si>
  <si>
    <t>"The goal of the project should be a tangible research product (such as joint print or web publications) for which at least two collaborators will take credit....
[T]he aim of the fellowship program is to support scholarship that highlights the intellectual significance and innovation of collaborative research."</t>
  </si>
  <si>
    <t>$3,500 for 1 month</t>
  </si>
  <si>
    <t>H. Allen Brooks Travelling Fellowship</t>
  </si>
  <si>
    <t>"The Society of Architectural Historians’ prestigious H. Allen Brooks Travelling Fellowship will be offered for 2017 and will allow a recent graduate or emerging scholar to study by travel for one year. The fellowship is not for the purpose of doing research for an advanced academic degree. Instead, Professor Brooks intended the recipient to study by travel and contemplation while observing, reading, writing, or sketching. 
The goals are to provide an opportunity for a recent graduate with an advanced degree or an emerging scholar to:
see and experience architecture and landscapes firsthand
think about their profession deeply
acquire knowledge useful for the recipient’s future work, contribution to their profession, and contribution to society
The fellowship recipient may travel to any country or countries during the one-year period."</t>
  </si>
  <si>
    <t>Salary replacement</t>
  </si>
  <si>
    <t>"Through an international competition, the Center offers 9-month residential fellowships. The Wilson Center invites scholars, practitioners, journalists and public intellectuals to take part in its flagship international Fellowship Program. Fellows conduct research and write in their areas of interest, while interacting with policymakers in Washington and Wilson Center staff and other scholars in residence.  The Center accepts policy-relevant, non-advocacy fellowship proposals that address key challenges confronting the United States and the world."</t>
  </si>
  <si>
    <t>€2,000/month</t>
  </si>
  <si>
    <t>OTHER DEADLINE: March 1, October 1
"IIAS is an institute that actively promotes innovative research and seeks the interconnection between academic disciplines. In doing so, we are particularly looking for researchers focusing on the three IIAS clusters 'Asian Cities', 'Asian Heritages' and 'Global Asia'. However some positions will be reserved for outstanding projects in any area outside of those listed. Applications that link to more than one field are also welcome."</t>
  </si>
  <si>
    <t>salary and travel</t>
  </si>
  <si>
    <t xml:space="preserve"> OTHER DEADLINE: October 1, March 1
"The Kettering Foundation invites journalists and scholars of journalism from around the world to spend up to six months working with us in Dayton, Ohio, to explore the role of journalism in a democratic society and the obligations of journalists to democratic public life. While at the foundation, residents are expected to work with Kettering’s staff on the foundation’s ongoing research in this area. Work will include literature reviews related to the foundation’s program areas, exploration of the role of a deliberative public in the political work of communities domestically and internationally, and participation in workshops and other meetings related to the foundation’s research."
Dayton, Ohio</t>
  </si>
  <si>
    <t>A&amp;H
Writing</t>
  </si>
  <si>
    <t>"An annual scholarship to support travel abroad for gifted American-born poets. The candidate must submit a poetry sample for consideration. The recipient must agree to spend one year outside of continental North America in whatever place the recipient deems best suited to advance the art of poetry as practiced by him/her. At the end of the year abroad, the poet must submit at least three poems for consideration by the scholarship committee. "</t>
  </si>
  <si>
    <t>A&amp;H 
History</t>
  </si>
  <si>
    <t>$2,000-$3,000</t>
  </si>
  <si>
    <t>OTHER DEADLINE: April 1, November 1
"Short-term fellowships are awarded for one or more months, and open to academics from any country, subject to selection by committee.  Successful applicants will be working on Jefferson-related projects. Priority is given to Jefferson-related projects using the Digital Archeological Archive of Comparative Slavery or Getting Word.
Fellows are expected to be in residence at the Robert H. Smith International Center for Jefferson Studies (ICJS), where they will have access to Monticello's expert staff and research holdings at the Jefferson Library as well as those of the University of Virginia. During their residencies, fellows hold a 45 minute forum on their research projects."</t>
  </si>
  <si>
    <t>A&amp;H
Music</t>
  </si>
  <si>
    <t>&lt;$3,000</t>
  </si>
  <si>
    <t>"This fellowship, endowed in honor of Adrienne Fried Block, shall be given to support scholarly research leading to publication on topics that illuminate musical life in large urban communities. Preference shall be given to projects that focus on the interconnections among the groups and organizations present in these metropolitan settings and their participation in the wide range of genres that inform the musical life and culture of their cities."</t>
  </si>
  <si>
    <t>American Fellowships Postdoctoral Research Leave Fellowship</t>
  </si>
  <si>
    <t>non-tenured</t>
  </si>
  <si>
    <t>"The primary purpose of the Postdoctoral Research Leave Fellowship is to increase the number of women in tenure-track faculty positions and to promote equality for women in higher education. This fellowship is designed to assist the candidate in obtaining tenure and further promotions by enabling her to spend a year pursuing independent research."</t>
  </si>
  <si>
    <t>A&amp;H
Religion &amp; Music</t>
  </si>
  <si>
    <t>OTHER DEADLINES: November 1 (Long-term) and November 15 (Short-term Collections)
"The ISM Fellows are scholars, religious leaders, and artists at all career stages whose work is in or is moving to the fields of sacred music, liturgical/ritual studies, or religion and the arts. Scholars in the humanities or the social or natural sciences, whose work is directly related to these areas, are also encouraged to apply. Fellows have the opportunity to pursue their scholarly or artistic projects within a vibrant, interdisciplinary community, and they may have the option to teach."</t>
  </si>
  <si>
    <t>Grants-in-Aid for Research</t>
  </si>
  <si>
    <t>"The Rockefeller Archive Center's competitive research stipend program provides awards of up to $5000 for reimbursement of receipted expenses for travel and accommodation in conjunction with research conducted at the RAC. The research stipends are designed to foster, promote, and support research by serious scholars in the collections located at the Rockefeller Archive Center."</t>
  </si>
  <si>
    <t>"The Gladstone Library offers residential scholarships and bursaries designed to support anyone working on a project that would benefit from a stay at Gladstone’s Library. These scholarships are primarily to enable those who would find the cost of staying at Gladstone’s Library difficult or prohibitive. They support research of varying topics in the Arts and the Humanities. Scholarships will only be awarded for a maximum of 1 week."</t>
  </si>
  <si>
    <t>AWARDED EVERY OTHER YEAR
"A pre- or post-doctoral fellowship for study of archaeology and classical studies, awarded every other year, has been established by the Institute at the American Academy in Rome. This fellowship, with other funds from the American Academy in Rome, will support a Rome Prize Fellowship."</t>
  </si>
  <si>
    <t>Archealogy of Portugal Fellowships</t>
  </si>
  <si>
    <t>"To support projects pertaining to the archaeology of Portugal, to be conducted between July 1 of the award year and the following June 30. These include, but are not limited to, research projects, colloquia, symposia, publication, and travel for research or to academic meetings for the purpose of presenting papers on the archaeology of Portugal."</t>
  </si>
  <si>
    <t>First Tuesday in November Annually
"The Directorate for Biological Sciences (BIO) awards Postdoctoral Research Fellowships in Biology to recent recipients of the doctoral degree for research and training in selected areas supported by BIO and with special goals for human resource development in biology.  The fellowships encourage independence at an early stage of the research career to permit Fellows to pursue their research and training goals in the most appropriate research locations regardless of the availability of funding for the Fellows at that site....
The fellowships are also designed to provide active mentoring of the Fellows by the sponsoring scientists who will benefit from having these talented young scientists in their research groups. The research and training plan of each fellowship must address important scientific questions within the scope of the BIO Directorate and the specific guidelines in this fellowship program solicitation."</t>
  </si>
  <si>
    <t>"The Verville Fellowship is a competitive nine- to twelve-month in-residence fellowship intended for the analysis of major trends, developments, and accomplishments in the history of aviation or space studies. The fellowship is open to interested candidates with demonstrated skills in research and writing. Publishing experience should demonstrate either a mid-level academic record of accomplishment or proven ability to reliably engage broader audiences. An advanced degree in history or a related field is preferred but not a requirement. An annual stipend of $55,000 will be awarded for a 12-month fellowship, with limited additional funds for travel and miscellaneous expenses."</t>
  </si>
  <si>
    <t>senior</t>
  </si>
  <si>
    <t>"The Charles A. Lindbergh Chair in Aerospace History is a competitive 12-month fellowship open Oct 15,  to senior scholars with distinguished records of publication who are at work on, or anticipate being at work on, books in aerospace history. Support is available for living expenses in the Washington, D.C, area up to a maximum of $100,000 a year. Tenure is typically for an academic year (September through August) and applications are due December 1 of the year preceding the award of the fellowship. (For example, applications for 2017–18 should be submitted by December 1, 2015.)"</t>
  </si>
  <si>
    <t>"The Guggenheim Fellowships are competitive three- to twelve-month in-residence fellowships for pre- or postdoctoral research in aviation and space history. Predoctoral applicants should have completed preliminary course work and examinations and be engaged in dissertation research. Postdoctoral applicants should have received their PhD within the past seven years. An annual stipend of $30,000 for predoctoral candidates and $45,000 for postdoctoral candidates will be awarded, with limited additional funds for travel and miscellaneous."</t>
  </si>
  <si>
    <t>"The Virginia Foundation for the Humanities offers fellowships to scholars and writers in the humanities. There are no restrictions on topic, and applications are invited from across the broad spectrum of the humanities. The maximum fellowship stipend is $15,000 per semester. Fellowships are awarded for one semester or a full academic year."</t>
  </si>
  <si>
    <t>The Louis O. Kelso Fellowships</t>
  </si>
  <si>
    <t>"The Louis O. Kelso Fellowships are awarded to outstanding scholars studying the topic of broadened ownership of capital in a democraticsociety in the United States. Ph.D. candidates, postdoctoral scholars, or visiting professors in the areas of business/economics/labor studies/management, history, law, philosophy, political science, psychology, public policy, or sociology may apply.... 
The general theme of the fellowship includes the study of the idea and practice and public policy of broadening the ownership of capital assets in society such as the Employee Stock Ownership Plan (ESOP), which broadens the ownership of corporations, as well as approaches whereby consumers may have capital ownership of enterprises and individual citizens may have access to opportunities for capital acquisition. The relevance of these and other related ideas to the concept of economic democracy and democratic capitalism can also be pursued.
The fellows may be supported at their home institution or may be in residence at Rutgers University with the period and length of residency varying between July 1 and June 30 of the academic year.  The fellows will receive stipends of $12,500 that can be used for research, travel, or living expenses."</t>
  </si>
  <si>
    <t>"The Beyster fellowships are awarded to outstanding Ph.D. candidates or postdoctoral scholars in the areas of economics, history, management, business and labor relations, law, philosophy, psychology, political science, public policy, and sociology studying employee ownership and related ideas such as profit sharing and broad-based stock options in the corporation and society in the United States. The fellowships permit the students to associate with several scholars engaged in this area of research at Rutgers and receive mentoring and support.... [The Postdoctoral Fellowship] will support pre-tenure scholars and recent Ph.D. graduates.The stipend is $25,000 for one year and can be used for research, travel, and living expenses. The fellow can be a resident at Rutgers University or at their home institution. The period and length of residency varies.... [The Visiting Professor] supports a scholar who holds an academic appointment at another university and visits Rutgers in order to collaborate with researchers at the university."</t>
  </si>
  <si>
    <t>SUSPENDED FOR 2019-2020. DEADLINE FOR 2020-2021 IS JANUARY 13, 2020.
Houghton Library is the principal rare book and manuscript library of Harvard College, which documents the history of Western civilization. "The collections of Houghton Library touch upon almost every aspect of the human record, particularly the history and culture of Europe and North America, and include special concentrations in the history of printing and of theater. Materials held here range from medieval manuscripts and early printed books to the working papers of living writers. Fellows will also have access to collections in Widener Library as well as to other libraries at the University. Preference is given to scholars whose research is closely based on materials in Houghton collections, especially when those materials are unique; and we particularly welcome proposals for research projects drawing on our holdings related to Africa, the Americas, Asia, and Oceania, and to histories of marginalized people; fellowships are normally not granted to scholars who live within commuting distance of the library. Each fellow is expected to be in residence at Houghton for at least four weeks ... (these do not have to be consecutive weeks), and each fellow will be expected to produce a written summary of his/her experience working with the collections."</t>
  </si>
  <si>
    <t>$5,000/month plus travel</t>
  </si>
  <si>
    <t>“is designed to bring senior scholars to Harvard University for a period of five months for focused research in Ukrainian history, literature, philology, culture, and other related areas of study in the humanities and social sciences fields. While in residence, the Jacyk Distinguished Fellow will use the University's unique resources to work on significant and innovative projects in Ukrainian studies, and in general to further his or her professional development. In addition, the Jacyk Distinguished Fellow will preside over the Petro Jacyk Seminar in Ukrainian Studies: a forum presented as part of the HURI Seminar Series in Ukrainian Studies.”</t>
  </si>
  <si>
    <t>Bogiliasco Fellowships</t>
  </si>
  <si>
    <t>room, board, studio space for a month</t>
  </si>
  <si>
    <t>OTHER DEADLINE: January 15, April 15
In Bogliasco, Italy
“Bogliasco Fellowships are awarded to gifted individuals working in all the disciplines of the Arts and Humanities without regard to nationality, age, race, religion or gender.
To be eligible for the award of a Fellowship, applicants should demonstrate significant achievement in their disciplines, commensurate with their age and experience.... The Foundation gives preference to those whose applications suggest that they would be comfortable working in an intimate, international, multilingual community of scholars and artists.”</t>
  </si>
  <si>
    <t>"To support studies undertaken at the American School of Classical Studies at Athens, Greece for no more than a year."</t>
  </si>
  <si>
    <t>A&amp;H
Philosophy</t>
  </si>
  <si>
    <t>"The Institute welcomes applications from philosophers who wish to visit London, and can offer its own office space and other facilities. Fellows are encouraged to take an active part in the life of the Programme, and in the many other philosophical activities in London. The Aristotelian Society holds its fortnightly meetings in Senate House, and the Royal Institute of Philosophy holds weekly meetings in nearby Gordon Square. Prospective fellows may apply for a visit of up to one year. Fellows may work in any area of philosophy."</t>
  </si>
  <si>
    <t>A&amp;H
English</t>
  </si>
  <si>
    <t>"The activities of the Institute of English Studies attract those interested in the English language and its literatures (including other national and international literatures in English), in the History of the Book, and in cognate fields of study. Its approach is interdisciplinary, and it co-ordinates a substantial amount of research activity through the Centre for Manuscript and Print Studies which it hosts on behalf of a cross-sectoral group of seven universities and libraries including the British Library and the St Bride Printing Library. It has a strong presence in the writing of national histories of the book in Britain and Ireland and a strong presence in mediaeval English Palaeography. It hosts a variety of Research Seminar series annually, and about twenty conferences, as well as an ambitious publishing programme."</t>
  </si>
  <si>
    <t>$4,000 fellowship
$1,000 for publication</t>
  </si>
  <si>
    <t>"Purpose: To help support research on a dance-related subject and its subsequent publication.
Eligibility: Established scholars, recent Ph.D.s or Ph.D. candidates who have completed all degree program requirements except dissertation research. Preference will be given to applicants planning to enhance their research findings with movement notations such as Labanotation and/or with digital media such as photographs, video, or web-based formats.
Prize: $4,000 research fellowship and $1,000 award for publication.
Regularity: Awarded biennially (even years), or as frequently as allowed by investment returns."</t>
  </si>
  <si>
    <t>By invitation</t>
  </si>
  <si>
    <t>"The Amy Clampitt Fund seeks to benefit poetry and the literary arts by converting Amy Clampitt’s prior residence into a facility which would provide for a place to foster the study and promotion of poetry and/or a poet in residence through six to twelve month residencies at the Amy Clampitt House near Lenox. "</t>
  </si>
  <si>
    <t>By nomination
11/8/18</t>
  </si>
  <si>
    <t>"established and emerging scholars"</t>
  </si>
  <si>
    <t>up tp $200,000</t>
  </si>
  <si>
    <t>"The purpose of the Andrew Carnegie Fellows Program is to support high-caliber scholarship in the social sciences and humanities, making it possible for the recipients to devote time to research and writing that addresses pressing issues and cultural transitions affecting us at home and abroad.... Andrew Carnegie fellowships are open only to citizens or permanent residents of the United States whose names have been forwarded by a nominator designated by Carnegie Corporation of New York. Nominators include university presidents, leaders of think tanks, and editors of various newspapers, magazines, and university presses. Individuals may not apply for the fellows program."
"In 2019, there are four broad topic areas that include a wide range of suggested subtopics:
Strengthening U.S. democracy and exploring new narratives
Technological and cultural creativity—potential and perils
Global connections and global ruptures
Environments, natural and human"</t>
  </si>
  <si>
    <t>program closed?</t>
  </si>
  <si>
    <t>mid-career
experienced</t>
  </si>
  <si>
    <t>"The Ruth L. Kirschstein National Research Service Awards for Senior Fellows (F33) provides up to two years of support for experienced scientists who wish to make major changes in the direction of their research careers or who wish to broaden their scientific background by acquiring new research capabilities. These awards are targeted to individuals with at least seven years of research experience beyond the doctorate, and who have progressed to the stage of independent investigator. In most cases, this award is used to support sabbatical experiences."</t>
  </si>
  <si>
    <t>Program ended</t>
  </si>
  <si>
    <t>$500-20,000
Average $8,000</t>
  </si>
  <si>
    <t>"To support professionals in the social sciences and humanities, including economics, international affairs, government/politics, and philosophy" 
From Wikipedia--The Foundation sought to identify talent that reflects the mission of the Foundation: to support free-market scholars through a network of "Earhart professors" across the United States</t>
  </si>
  <si>
    <t>Program on hold</t>
  </si>
  <si>
    <t>Program on hold
"The Visiting Faculty Fellows program is intended to extend the practice of humanities research and education philosophically grounded at the undergraduate level into liberal arts colleges and Historically Black Colleges and Universities. Duke, as a research hub, can offer its research opportunities to faculty from these institutions and by extension have its impact on their undergraduates even as we can learn from the knowledge and world-views generated at these other institutions. This element of the HWL grant realizes the Mellon Foundation’s desire to reframe humanities as an engine for new knowledge production and to multiply the benefits of the Humanities Writ Large initiative at Duke."</t>
  </si>
  <si>
    <t>&lt;4 years postdoc
early career</t>
  </si>
  <si>
    <t>"Submit an application if you are a researcher from abroad with above average qualifications, at the beginning of your academic career and only completed your doctorate in the last four years. A Humboldt Research Fellowship for postdoctoral researchers allows you to carry out long-term research (6-24 months) in Germany. Applicants choose their own topic of research and their academic host.
Scientists and scholars of all nationalities and disciplines may apply to the Alexander von Humboldt Foundation online at any time."</t>
  </si>
  <si>
    <t>"The one-year fellowship helps reporters complete their first substantial work of investigative reporting, by providing a $12,000 award and editorial advice from a dedicated Investigative Fund editor. Fellows will also receive funds to cover travel and other reporting costs, and the costs associated with attending the annual Investigative Reporters and Editors conference. They will enjoy access to research resources, legal assistance, professional mentors and assistance with story placement and publicity."</t>
  </si>
  <si>
    <t>"The Institute of Latin American Studies promotes, coordinates and provides a focus for research on Latin America and the Caribbean, in social sciences and the humanities. The Institute welcomes applications for Visiting Research Fellowships from scholars of international distinction whose research is in a field relevant to the Institute’s work. Applicants must have a PhD or be of postdoctoral standing."</t>
  </si>
  <si>
    <t>&lt;12 years postdoc</t>
  </si>
  <si>
    <t>"Submit an application if you are a researcher from abroad with above average qualifications, completed your doctorate less than twelve years ago, already have your own research profile and are working at least at the level of Assistant Professor or Junior Research Group Leader or have a record of several years of independent academic work. A Humboldt Research Fellowship for experienced researchers allows you to carry out long-term research (6-18 months) in Germany. Applicants choose their own topic of research and their academic host. The fellowship is flexible and can be divided up into as many as three stays within three years.
Scientists and scholars of all nationalities and disciplines may apply to the Alexander von Humboldt Foundation online at any time."</t>
  </si>
  <si>
    <t>Jennings Randolph Senior Fellowship</t>
  </si>
  <si>
    <t>&lt;$10,000/month for 6 months minumum</t>
  </si>
  <si>
    <t>"USIP Fellowship programs support cutting-edge research, writing, analysis and convening by emerging and leading international experts from many disciplinary and professional backgrounds. The Fellowship programs provide USIP resources to add to its in-house expertise and inform its programmatic work, while contributing to USIP’s role as a bridge between academics, reflective practitioners and policy-makers."</t>
  </si>
  <si>
    <t>Visiting scholars and PhD students from other Israeli or foreign academic institutions have the opportunity to work one-on-one with researchers at the center and utilize its resources to anthropology, sociology, and religion. Applicants must be doctoral candidates or have received a PhD degree. Applicants are responsible for their own funding and housing arrangements. The minimum duration of the affiliation is three months, which can be extended up to one year.</t>
  </si>
  <si>
    <t>A&amp;H
Area Studies</t>
  </si>
  <si>
    <t>junior scholar</t>
  </si>
  <si>
    <t>"this program aims to help create an energetic, multi-faceted research environment for the Humanities at NYUAD’s campus. To this end, NYUAD will annually invite applications from distinguished senior scholars as well as from promising junior scholars for residential fellowships at NYUAD’s Institute for one-two semesters. Fellows will contribute to NYUAD’s intellectual community through research and research-related activities. While open to scholars working in all areas of the Humanities, the program aims in particular to build a center of outstanding research capacity in areas of the Humanities that are relevant for the study of the Arabic world. Scholars are offered work/office space at the Institute, full use of NYUAD’s library facilities (which are substantial, closely connected as they are to NYU’s Main Library in New York), administrative support, housing at NYUAD’s campus on Saadiyat Island (or comparable facilities), a fellowship stipend commensurate with experience, a personal research allowance, and funds for intermittent home travel."</t>
  </si>
  <si>
    <t>"recognized research and publication record"</t>
  </si>
  <si>
    <t>“CBO’s visiting scholars strengthen vital links between the agency and the broader community of public policy analysts. Visiting scholars have a unique opportunity to address complex budgetary and economic issues. The agency is especially interested in collaborating with scholars who specialize in macroeconomics, health economics, financial economics, and public economics, though it welcomes applications from analysts in all areas. Visiting scholars conduct policy-related research, use the agency’s data and facilities, and collaborate daily with CBO’s staff members to contribute to the agency's analysis. Visiting scholars also have access to professional development opportunities and are well-placed to draw on the resources and expertise found in the broader public policy community.”</t>
  </si>
  <si>
    <t>rolling?</t>
  </si>
  <si>
    <t>"The Scholar-in-Residence Programme was initiated to enhance cooperation among scholars with research interest in East-West studies. Scholars-in-residence normally work with faculty members of Hong Kong Baptist University and/or other scholars at other tertiary institutions in Hong Kong. The length of the residence varies according to the research plans of the scholars concerned."</t>
  </si>
  <si>
    <t>TBA</t>
  </si>
  <si>
    <t>Robert Giard Fellowship</t>
  </si>
  <si>
    <t>A&amp;H
Creative Arts
Visual Art
Gender studies</t>
  </si>
  <si>
    <t>Not awarded at moment. Last deadline: 11/15/17
not updated as of 1.30.19
"An annual award named for Robert Giard, a portrait, landscape, and figure photographer whose work often focused on LGBTQ lives and issues, this award is presented to an emerging or mid-career artist, from any country, working in photography, photo-based media, or moving image, including experimental, narrative, or documentary forms of these media. The award now alternates annually between artists working with still image (photography) and those working with moving image (video or film). This year’s award is for still images. This award will support the development or completion of a project, one that is new or continuing, that addresses issues of sexuality, gender, or LGBTQ identity. The Foundation is receptive to a variety of projects and approaches to these topics."</t>
  </si>
  <si>
    <t>maximum PhD+ 5 years</t>
  </si>
  <si>
    <t>Up to 125.000€</t>
  </si>
  <si>
    <t>"The AXA Fellowship is a funding scheme aiming at supporting young promising researchers on a priority topic aligned with AXA and the Society. Our support should be transformative for the researcher and the advancement of her/his research field."</t>
  </si>
  <si>
    <t>Rita Allen Foundation</t>
  </si>
  <si>
    <t>TBD</t>
  </si>
  <si>
    <t>"The Heidelberg Centre for Transcultural Studies (HCTS) is a central institute of Heidelberg University that builds on the structures established by the Cluster of Excellence “Asia and Europe in a Global Context” and assembles outstanding scholars from all over the world and from any discipline to engage in an interdisciplinary dialogue with a focus on the dynamics of global transcultural processes. The HCTS offers up to 8 temporary fellowships (lasting from 6 months up to 2 years) to senior and junior scholars in all fields, but especially in the humanities and the social sciences."</t>
  </si>
  <si>
    <t>$35,000/3 years</t>
  </si>
  <si>
    <t>Various</t>
  </si>
  <si>
    <t>"The nine institutes within the School of Advanced Study offer a number of visiting research fellowships in their specialist subject areas. The Institutes offer a number of visiting and research fellowships in legal studies, classical studies, Commonwealth studies, English studies, historical research, Latin American studies, modern languages, philosophy, and the classical tradition of Europe. The fellowships vary in length and in the stipend amounts. The application deadlines vary between the Institutes."</t>
  </si>
  <si>
    <t>Org type</t>
  </si>
  <si>
    <t>Sciences
Biomedical research</t>
  </si>
  <si>
    <t>Social Sciences
Anthropology and Archeology</t>
  </si>
  <si>
    <t>A&amp;H
 Creative Arts</t>
  </si>
  <si>
    <t>We offer a variety of fellowships for predoctoral, postdoctoral, and non-academic researchers. Applicants are encouraged to contact prospectivestaff advisors prior to submitting a proposal.</t>
  </si>
  <si>
    <t>"The Billington Fellow will be based at the Wilson Center’s Kennan Institute in Washington, D.C. for a nine-month term (one academic year). Fellows will receive access to the Library of Congress, National Archives, and policy research centers in Washington, D.C., as well as the opportunity to meet with key experts and officials at the State Department, USAID, Department of Defense, and Congress. While conducting research, the Billington Fellow will be expected to actively participate in discussions with the policy and academic communities. These discussions can be in the form of speaking engagements at the Wilson Center and potentially outside of Washington D.C., as well as attending meetings, conferences, and other activities organized by the Kennan Institute and the Wilson Center. Upon completion of the fellowship, the Billington Fellow will join our growing list of alumni, for whom the Kennan Institute will continue to offer opportunities for collaboration and engagement.
Applicants for the Billington Fellowship must hold a Ph.D. awarded within the past 10 years. Preference will be given to proposed research in the fields of Russian history and culture. There is no citizenship restriction on this grant."</t>
  </si>
  <si>
    <t>"The Kennan Institute offers Title VIII Short-Term Grants to scholars whose research in the social sciences or humanities focuses on Russia, Ukraine, and the countries of Eurasia, and who demonstrate a particular need to utilize the library, archival, and other specialized resources of the Washington, D.C. area.  Policy-relevant research is preferred.  Academic participants must either possess a doctoral degree or be doctoral candidates who have nearly completed their dissertations. For non-academics, an equivalent degree of professional achievement is expected..... Grant recipients are required to be in residence in Washington, D.C. for the duration of their grant."</t>
  </si>
  <si>
    <t>National University Singapore</t>
  </si>
  <si>
    <t>Lee Kong Chian NUS-Stanford Distinguished Fellowship on Contemporary Southeast Asia</t>
  </si>
  <si>
    <t>Language and Areas Studies
Southeast Asia</t>
  </si>
  <si>
    <t>$7500/month</t>
  </si>
  <si>
    <t>The Lee Kong Chian NUS-Stanford Initiative on Southeast Asia, founded in 2007, establishes a Distinguished Visiting Fellowship on Southeast Asia to help advance scholarly and policy-relevant consideration of this region. The Fellowship provides an expert on Southeast Asia the opportunity to spend a period of up to a year writing and conducting research on or related to contemporary Southeast Asia. Each Fellow will divide his or her time as appropriate between residence at the National University of Singapore and at Stanford University. Fellows may expect to share their research findings in academic seminars and professional forums. Fellows may be of any nationality.</t>
  </si>
  <si>
    <t>Institute for Advanced Study (IAS), School of Social Science</t>
  </si>
  <si>
    <t>"Each year, between 20 and 25 scholars are selected as Members in the School of Social Science.... Members are expected only to pursue their own research and participate in the seminars. The theme for 2019-20 is "Economy and Society" but applications outside the theme are also welcomed. An interdisciplinary dialogue will be fostered and applications are strongly encouraged from scholars across the social sciences, whether or not their research corresponds to the theme."</t>
  </si>
  <si>
    <t>No new DEADLINE as of 3.6.19
CALL FOR SUBMISSIONS FOR 2019 FUNDING BE ISSUED IN FALL 2018
"Research grants of up to $15,000 will be awarded to one mid-career professional whose research project relates to the appreciation, interpretation, preservation, study and teaching of European art, architecture and related disciplines from antiquity to the early 19th century, in the context of historic preservation in the United States. Potential Kress Fellow projects could include the exploration of shared European and American influences in style, design, materials, construction techniques, building types, conservation and interpretation methodologies, philosophical and theoretical attitudes, and other factors applicable to preservation in both Europe and America."</t>
  </si>
  <si>
    <t>No new DEADLINE as of 3.6.19
"The Center for Italian Modern Art awards a number of fellowships each year to support the study of Italian modern and contemporary art by scholars at the master’s, doctoral, and post-doctoral level. The program’s intention is to bring together emerging scholars from diverse academic backgrounds in an interactive and collaborative environment at CIMA’s New York location. Fellows pursue their own research, but also participate in the annual installation and the Center’s activities. CIMA also offers a Travel Fellowship for scholars interested in studying in Italy, and an Affiliated Fellowship with the Civitella Ranieri to support an art historian’s stay for six weeks at the residence in Italy. Citizens of all nationalities are eligible to apply."</t>
  </si>
  <si>
    <t>No new DEADLINE as of 3.6.19
"The Society for Classical Studies invites applications for a one-year Fellowship which will enable an American scholar to participate in the work of the Thesaurus Linguae Latinae (TLL) Institute in Munich. Fellows at the TLL develop a broadened perspective of the range and complexity of the Latin language and culture from the classical period through the early Middle Ages, contribute signed articles to the Thesaurus, have the opportunity to participate in a collaborative international research project in a collegial environment, and work with senior scholars in the field of Latin lexicography."</t>
  </si>
  <si>
    <t>No new DEADLINE as of 3.6.19
"With its internationally renowned library, the ICS provides outstanding research facilities for scholars working in the fields of Ancient Greek and Latin languages and literature, Ancient History, Mycenaean Studies, Classical Archaeology and Ancient Philosophy. Specialist archive rooms are dedicated to research in the Ancient Theatre, in Epigraphy and Papyrology, and for the Ancient Commentators on Aristotle Project. Offices for research fellows are located within the area of the library. A computing room is well supplied with electronic information resources in Classics and related fields."</t>
  </si>
  <si>
    <t>No new DEADLINE as of 3.6.19
"Our fellowship program is meant to support courageous artists in creating exchanges, experiences, and structures that highlight seemingly intractable social problems, inspire audiences, and energize folks to participate in and sustain long-term social change work. This is hard and time-consuming organizational, intellectual, and emotional work.
For these reasons, beginning this year we are separating our financial support to fellows from our content and audience-building work for the field into two separate programs. This decision reflects our dual commitment to supporting artists who engage in high risk and high trust work that wouldn’t benefit from increased visibility of the process, as well as to producing high quality video, web, and print content, and experiences that push the discourse and expand audience for the field of socially engaged art."</t>
  </si>
  <si>
    <t>No new DEADLINE as of 3.6.19
"NYSCA/NYFA Artist Fellowships, awarded in fifteen different disciplines over a three-year period, are $7,000 cash awards made to individual originating artists living and working in the state of New York for unrestricted use. These fellowships are not project grants but are intended to fund an artist’s vision or voice, regardless of the level of his or her artistic development." The following categories will be reviewed in 2019: Architecture/Environmental, Structures/Design, Choreography, Music/Sound, Photography, Playwriting/Screenwriting</t>
  </si>
  <si>
    <t>No new DEADLINE as of 3.6.19
"The Leon Levy Center for Biography offers four resident fellowships at the Graduate Center for the academic year beginning each September. Awards include writing space, full access to research facilities, research assistance and a stipend of $72,000. Fellows devote their time to their projects and participate in monthly seminars and the public events of the Leon Levy Center for Biography, including the annual lecture and the annual conference, and they are encouraged to join in the dynamic intellectual community of the Graduate Center."</t>
  </si>
  <si>
    <t>No new DEADLINE as of 3.6.19
"Sponsorship of research at the John Carter Brown Library is reserved exclusively for scholars whose work is centered on the colonial history of the Americas, North and South, including all aspects of European, African, and Native American engagements in global and comparative contexts. Short-term fellowships are open to individuals who are engaged in pre- and post-doctoral, or independent research, regardless of nationality. Graduate students must have passed their preliminary or general examinations at the time of application."</t>
  </si>
  <si>
    <t>No new DEADLINE as of 3.6.19
"The John Carter Brown Library offers long-term fellowships, several of which are funded by the National Endowment for the Humanities (NEH), an independent agency of the U.S. Federal government. Additional long-term fellowships have been made possible by Donald L. Saunders; R. David Parsons; and The Reed Foundation, which has endowed the InterAmericas Fellowship (for research on the history of the West Indies and the Caribbean basin). Fellowships funded by the NEH are only available to citizens of the United States or to those applicants residing in the U.S. for the three years preceding application. Applicants of all nationalities, however, will be considered for long-term fellowships."</t>
  </si>
  <si>
    <t>No new DEADLINE as of 3.6.19
"The primary focus of the residency program is to afford literary translators a period of uninterrupted work on a current project, within an international community of translators. The Banff International Literary Translation Centre is open to literary translators from Canada, Mexico, and the United States translating from any language, and to international translators working on literature from the Americas. Applicants must have published at least one book-length literary translation (or equivalent). The award amount can cover the entire cost for a three-week internship, as well as a travel award if necessary."</t>
  </si>
  <si>
    <t>No new DEADLINE as of 3.6.19
Huntington Fellowships support high-quality research that advances scholarship in the humanities and makes use of our extensive archival and rare book collectionsm which are strong in British history and literature; American history and literature; the history of art; the history of science; and the history of the book. Receipients of all fellowships are expected to be in continuous residence at The Huntington (San Marino, CA) and to participate in and make a contribution to its intellectual life.</t>
  </si>
  <si>
    <t xml:space="preserve">No new DEADLINE as of 3.6.19
"The CAORC National Endowment for the Humanities Senior Research Fellowship Program supports advanced research in the humanities for U.S. postdoctoral scholars, and foreign national postdoctoral scholars who have been residents in the U.S. for three or more years. Scholars must carry out research in a country which hosts a participating American overseas research center. Eligible countries for 2018-2019 are: Algeria, Armenia, Azerbaijan, Cambodia, Cyprus, Georgia, Indonesia, Mexico, Mongolia, Morocco, Nepal, Senegal, Sri Lanka or Tunisia." </t>
  </si>
  <si>
    <t>No new DEADLINE as of 3.6.19
"Welcoming researchers in any area of legal scholarship who can profit from the strengths of its holdings in United Kingdom and foreign law: its particular research interests lie in legal education and the profession; company and partnership law; financial services regulation; economic crime; comparative law; law reform; and the law of children."</t>
  </si>
  <si>
    <t>No new DEADLINE as of 3.6.19
"The IHR ASU Fellows program provides funding for faculty or research teams to engage in a year of research related to the annual theme, share their research with the academic community (via lectures, a conference, or symposium), and produce a strong application for a large external grant. Fellowships provide one course buyout (in the spring semester) for each faculty member as well as research funds."</t>
  </si>
  <si>
    <t>No new DEADLINE as of 3.6.19
"The Lemelson Center for the Study of Invention and Innovation is accepting applications for the Arthur Molella Distinguished Fellowship at the Smithsonian Institution’s National Museum of American History (NMAH). We seek to appoint an experienced author or senior scholar (at the associate/full/emeritus professor level or equivalent) from the history of technology, science and technology studies, business history, museum studies, STEAM education, or an allied field (Smithsonian staff are not eligible). The specific arrangement is flexible: the Molella Distinguished Fellow may use the funds as a sabbatical supplement; for several short-duration visits; for a single residency focused on research and writing; or for a series of lectures leading to a major publication."</t>
  </si>
  <si>
    <t>No new DEADLINE as of 3.6.19
"The Fellowships are intended to provide opportunities for academics specializing in any area of arts and social sciences to visit and spend time at the Faculty of Arts and Social Sciences, conducting research and giving lectures and seminars. Fellows are expected to engage in collaborative research with faculty members. The typical duration of IMMF is one month or less. The IMMF is open to scholars in any area of the humanities and social sciences. Priority will be given to those who can contribute to the strategic areas of research of the Faculty with collaborative projects or projects leading to a major grant proposal."</t>
  </si>
  <si>
    <t>No new DEADLINE as of 3.6.19
"The CAORC Multi-Country Research Fellowship Program supports advanced regional or trans-regional research in the humanities, social sciences, or allied natural sciences for U.S. doctoral candidates and scholars who have already earned their PhD. Preference will be given to candidates examining comparative and/or cross-regional research. Applicants are eligible to apply as individuals or in teams. Scholars must carry out research in two or more countries outside the United States, at least one of which hosts a participating American overseas research center."</t>
  </si>
  <si>
    <t>No new DEADLINE as of 3.6.19
"The Brocher Foundation offers visiting Researchers the opportunity to come at the Brocher Centre in a peaceful park on the shores of Lake Geneva, to write a book, articles, an essay or a PhD thesis. The visiting positions are an occasion to meet other researchers from different disciplines and countries as well as experts from numerous International Organizations &amp; Non Governmental Organizations based in Geneva, such as WHO, WTO, WIPO, UNHCR, ILO, WMA, ICRC, and others.
They give Researchers (PhD students to Professors) the opportunity to work at the Brocher Centre on projects on the ethical, legal and social implications for humankind of recent medical research and new technologies.  Researchers can also apply with one or two other Researchers to work on a collaborative project."</t>
  </si>
  <si>
    <t>No new DEADLINE as of 3.6.19
"Projects in all fields in the social sciences and humanities are eligible. Proposals in other areas that contribute to the understanding of Sri Lankan history, culture, or society are also invited. Applicants need not have prior research experience in Sri Lanka. The Fellowship includes a monthly stipend for a period of two to six months, reimbursement for round-trip airfare, and a limited budget for research expenses. Applicants should apply for whatever length of tenure between two and six months best suits their research needs and personal schedules."</t>
  </si>
  <si>
    <t>No new DEADLINE as of 3.6.19
Proposals are invited from graduate and post-graduate scholars in all disciplines. Collaborative or group projects are also invited. [there is a temporary federal ban on study in Yemen]</t>
  </si>
  <si>
    <t>No new DEADLINE as of 3.6.19
"for a period of research lasting three months to a year. $1,000 of this Fellowship amount will be allocated for registration and travel support to the 2018 or 2019 ASOR Annual Meeting, where the successful applicant will be expected to present a paper on his or her research. This Fellowship is primarily intended to support field/research on ancient Mesopotamian civilization carried out in the Middle East, but other projects such as travel to work on museum collections or archives related to ancient Mesopotamia will also be considered."</t>
  </si>
  <si>
    <t>No new DEADLINE as of 3.6.19
The Sloan Foundation "fund[s] research and education in science, technology, engineering, mathematics and economics" ... "The Sloan Research Fellowships seek to stimulate fundamental research by early-career scientists and scholars of outstanding promise." ... "Successful candidates for a Sloan Research Fellowship generally have a strong record of significant independent research accomplishments that demonstrate creativity and the potential to become future leaders in the scientific community. Nominated candidates are normally below the rank of associate professor and do not hold tenure, but these are not strict requirements."</t>
  </si>
  <si>
    <t xml:space="preserve">No new DEADLINE as of 3.6.19
“Aimed at advancing cutting-edge investigations, the awards are presented to highly promising, early career scientists. At this critical juncture in young investigators' careers, when funding can be a challenge, the fellowship awards promote higher-risk, and potentially higher-reward, projects.”  </t>
  </si>
  <si>
    <t>No new DEADLINE as of 3.6.19
"The Simons Fellows programs in both Mathematics and Theoretical Physics provide funds to faculty for up to a semester-long research leave from classroom teaching and administrative obligations."
"The Simons Foundation’s Mathematics and Physical Sciences (MPS) division invites applications for the Simons Fellows in Mathematics program, which is intended to make sabbatical leaves more productive by extending them to a full academic year."</t>
  </si>
  <si>
    <t>No new DEADLINE as of 3.6.19
"The Simons Fellows programs in both Mathematics and Theoretical Physics provide funds to faculty for up to a semester-long research leave from classroom teaching and administrative obligations."
"The Simons Foundation’s Mathematics and Physical Sciences (MPS) division invites applications for the Simons Fellows in Theoretical Physics program, which is intended to make sabbatical leaves more productive by extending them to a full academic year."</t>
  </si>
  <si>
    <t>No new DEADLINE as of 3.6.19
Narrow years requirement
"The NASA Hubble Fellowship Program (NHFP) supports outstanding postdoctoral scientists to pursue independent research in any area of NASA Astrophysics, using theory, observation, experimentation, or instrumental development.  
The new NHFP preserves the legacy of NASA’s previous postdoctoral fellowship programs; once selected, fellows are named to one of three sub-categories corresponding to NASA’s “big questions:”  
How does the Universe work? – Einstein Fellows
How did we get here? – Hubble Fellows
Are we alone? – Sagan Fellows"</t>
  </si>
  <si>
    <t>No new DEADLINE as of 3.6.19
For over half a century, the James McKeen Cattell Fund has provided support for the science and the application of psychology. The Fund offers a program of supplementary sabbatical awards ("James McKeen Cattell Fund Fellowships"). These awards supplement the regular sabbatical allowance provided by the recipients' home institutions, to allow an extension of leave-time from one to two semesters.</t>
  </si>
  <si>
    <t xml:space="preserve">No new DEADLINE as of 3.6.19
"During their residency, fellows participate as members of the research community while engaged in a research project of their own choosing. Fellows will be mentored by experienced economists both on scientific issues, and career issues such as negotiating publications, the job market, and advancement strategies. Fellows are encouraged to present a research seminar at the sponsoring agency during their fellowship. Fellows are typically either junior faculty, postdocs or graduate students at the dissertation stage. Fellows are to be chosen by the program with the agreement of the sponsoring institution in line with the goal of advancing the participation of women and underrepresented minorities in the economics profession, the fit of a candidate with the activities of the research group at the sponsoring institution, and the value of the proposed research to advancing the sponsoring institution's own goals."  </t>
  </si>
  <si>
    <t>No new DEADLINE as of 3.6.19
"Thanks to a generous grant from the Samuel H. Kress Foundation, RSA will award up to five Samuel H. Kress Mid-Career Research and Publication Fellowships of $3,000 each. These fellowships are intended especially to support the costs of publication in the history of art, but in some cases may be awarded for research travel costs for art history projects."</t>
  </si>
  <si>
    <t>No new DEADLINE as of 3.6.19
"The Loeb Classical Library Foundation awards fellowships to qualified scholars to support research, publication, and other projects in the area of classical studies. Fellowships will normally range from $1,000 to $35,000, and may occasionally exceed that limit in the case of unusually interesting and promising projects.
Applicants must have faculty or faculty emeritus status at a college or university at the time of application and during the entire time covered by the fellowship. Fellowships may be used for a wide variety of purposes. Examples include publication of research, enhancement of sabbaticals, travel to libraries or collections, dramatic productions, excavation expenses, or cost of research materials."</t>
  </si>
  <si>
    <t>No new DEADLINE as of 3.6.19
"For the past 35 years, the National Endowment for the Arts has honored our nation’s master folk and traditional artists with the National Heritage Fellowship. This lifetime achievement award recognizes the ways these individuals demonstrate and reflect our nation’s living cultural heritage and the efforts of these artists to share their knowledge with the next generation. The NEA National Heritage Fellowships celebrate the vitality of America’s folk and traditional arts, supporting ethnic and cultural diversity as a strength national of character."</t>
  </si>
  <si>
    <t>No new DEADLINE as of 3.6.19
"Applications are accepted for one-month visiting fellowships for historical research by creative and performing artists, writers, film makers, journalists, and other persons whose goals are to produce imaginative, non-formulaic works dealing with pre-twentieth-century American history. Successful applicants are those whose work is for the general public rather than for academic or educational audiences. The Society's goal in sponsoring this program is to multiply and improve the ways in which an understanding of history is communicated to the American people."</t>
  </si>
  <si>
    <t>No new DEADLINE as of 3.6.19
"The Warburg Institute exists principally to further the interdisciplinary study of the classical tradition, that is of those elements of European thought, literature, art and institutions which derive from the ancient world. The classical tradition is conceived as the theme which unifies the history of Western civilisation. The emphasis is less on ‘classical’ values in art and literature (in fact, all the strands that link medieval and modern civilisation with its origins in the ancient cultures of the Near East and the Mediterranean are represented in the Library), than on the element of continuity: the tenacity of symbols and images in European art and architecture, the persistence of motifs and forms in Western languages and literatures, the gradual transition, in Western thought, from magical beliefs to religion, science and philosophy, and the survival and transformation of ancient patterns in social customs and political institutions."</t>
  </si>
  <si>
    <t>No new DEADLINE as of 3.6.19
"Each year, the Women’s Studies in Religion Program at the Harvard Divinity School hosts five full-time research associate/visiting faculty positions. Proposals for book-length research projects utilizing both religion and gender as central categories of analysis are welcomed. Priority will go to book projects for which most research has been completed. The projects may address women and religion in any time, place or religious tradition, and may utilize disciplinary and interdisciplinary approaches from across the fields of theology, the humanities, and the social sciences. Associates meet together regularly for collective discussion of research in progress; each Associate teaches a one-semester course related to the research project; and the Associates present their research in a public lecture series and an annual conference. Full-time residence at Harvard Divinity School is required for the ten month term."</t>
  </si>
  <si>
    <t>No new DEADLINE as of 3.6.19
"These fellowships support scholars in the humanities and related social sciences who are pursuing research on any aspect of religion in international contexts and who desire to connect their specialist knowledge with journalists and media practitioners. The ultimate goal of the research should be a significant piece of scholarly work by the applicant and concrete steps to engage journalistic and media audiences."</t>
  </si>
  <si>
    <t>No new DEADLINE as of 3.6.19
"The Renaissance Society of America will award up to thirteen RSA research fellowships in amounts of $3,000 for research travel. All applicants for a Short-Term Research Fellowship are automatically considered for the Kristeller Fellowship, and may indicate if they also wish to be considered for the Palisca and Pedretti Fellowships, if eligible. For more information about application requirements please click on the name of the fellowship."
Paul Oskar Kristeller Fellowship in all subjects
RSA Short-Term Research Fellowship in all subjects. These are usually divided evenly between Senior, Junior, and Non-doctoral scholars.
Claude V. Palisca Fellowship in Musicology
The Pedretti Fellowship in Leonardo da Vinci Studies</t>
  </si>
  <si>
    <t>No new DEADLINE as of 3.5.19
"The Paris Institute for Advanced Study welcomes applications from high level international scholars and scientists in the fields of the humanities and the social sciences for a research stay of five or ten months. The researchers will benefit from the scientific environment of the Institute and have the opportunity to create contacts with researchers in the academic institutions of Greater Paris.  It is open to any discipline and theme in the humanities and social sciences, and can have an interdisciplinary dimension. Special attention will be paid this year to projects directly or indirectly related to the theme of the urban and the metropolises. The Paris IAS provides its fellows with housing, a monthly remuneration, and a round-trip flight. "</t>
  </si>
  <si>
    <t>No new DEADLINE as of 3.6.19
Reporting information available only.  Emailed for information on 4.10.18.</t>
  </si>
  <si>
    <t>No new DEADLINE as of 3.6.19
"Guggenheim Fellowships are intended for individuals who have already demonstrated exceptional capacity for productive scholarship or exceptional creative ability in the arts....The Foundation receives approximately 3,000 applications each year. Although no one who applies is guaranteed success in the competition, there is no prescreening: all applications are reviewed. Approximately 175 Fellowships are awarded each year."</t>
  </si>
  <si>
    <t>No new DEADLINE as of 3.6.19
"The Obama Foundation Fellows will be a diverse set of community-minded rising stars – organizers, inventors, artists, entrepreneurs, journalists, and more – who are altering the civic engagement landscape. By engaging their fellow citizens to work together in new and meaningful ways, Obama Foundation Fellows will model how any individual can become an active citizen in their community....
Our two-year, non-residential Fellowship will offer hands-on training, resources, and leadership development. Fellows will also participate in four multi-day gatherings where they will collaborate with each other, connect with potential partners, and collectively push their work forward. Throughout the program, each Fellow will pursue a personalized plan to leverage Fellowship resources to take their work to the next level."</t>
  </si>
  <si>
    <t>Deadline for Stanford Fellowship
OTHER DEADLINES depend on hosting institution.
"Established in 2015 and now in its third year of growth, the Berggruen Fellowship Program is a cornerstone of the Institute’s mission to nurture ideas that shape the future. Our partner universities now include: Harvard, Stanford, Oxford, New York University, the University of Southern California, and Peking and Tsinghua Universities."
"The Berggruen Institute provides Residential and Research Fellowships. Residential Fellowships are available in all program areas of the Institute as year-long stipends for mid-career to senior Fellows of outstanding quality. They offer the opportunity for a year of highly focused research and writing on the programmatic questions addressed by the Berggruen Institute’s great transformations. Research Fellowships are available through the Transformations of the Human program as a three-year Fellowship designed for early career scholars who have recently finished their PhD. Typically five to seven Fellows are admitted annually to work in AI and Biotech labs with the aim of building up philosophical and artistic conversations within the lab context."</t>
  </si>
  <si>
    <t>No new DEADLINE as of 3.6.19
"The B.A.E.F encourages applications for fellowships for advanced study or research during the academic year at a Belgian University or institution of higher learning. The B.A.E.F. will award up to ten fellowships as outright non-renewable grants. Fellows are expected to stay for a period of 12 months in Belgium and the minimum fellowship period is 6 months."</t>
  </si>
  <si>
    <t xml:space="preserve">“Founded in 1973, the School of Social Science takes as its mission the analysis of contemporary societies and social change. It is devoted to a pluralistic and critical approach to social research, from a multidisciplinary and international perspective…. To facilitate scientific engagement among the visiting scholars, the School defines a theme for each year. Approximately one half of Members selected pursue work related to it and contribute to a corresponding seminar....  The School of Natural Sciences will have several openings for members in theoretical physics, astrophysics, and biology for the academic year 2019-2020. The positions are at a postdoctoral or higher level in the areas of astrophysics, theoretical biology, cosmology, mathematical physics, quantum field theory, particle phenomenology, string theory and quantum gravity. Postdoctoral members are selected on their ability to conduct independent research but they frequently collaborate with each other, with faculty members at the Institute or Princeton University, and with researchers at other institutions.” </t>
  </si>
  <si>
    <t>EARLY 2019
not updated as of 1.30.19; Next submission opportunity is likely in the second half of 2019
"The Rita Allen Foundation currently makes grants for charitable purposes in two primary domains:
Investing in young leaders in science and social innovation
Promoting civic literacy and engagement
Within these domains, the Foundation identifies organizations for funding based on its goals and strategies. While the vast majority of our grant making is conducted through the Rita Allen Foundation Scholars program and through the Foundation’s research and consultation with sector experts, we also provide an opportunity for nonprofit organizations to submit unsolicited Letters of Inquiry if they believe they are an excellent fit for our portfolio. This process allows us to open lines of communication with a diverse pool of organizations."</t>
  </si>
  <si>
    <t>No new DEADLINE as of 3.6.19
The Smith Richardson Foundation sponsors an annual “World Politics and Statecraft Fellowship” program, its annual grant competition to support Ph.D. dissertation research on American foreign policy, international relations, international security, strategic studies, area studies, and diplomatic and military history. The purpose of the program is to strengthen the U.S. community of young scholars and researchers conducting policy analysis in these fields by supporting the research and writing of policy-relevant dissertations through funding of field work, archival research, and language training.  In evaluating applications, the Foundation will accord preference to those projects that could directly inform U.S. policy debates and thinking, rather than dissertations that are principally focused on abstract theory or debates within a scholarly discipline.</t>
  </si>
  <si>
    <t>No new DEADLINE as of 3.5.19
"The Soros Justice Fellowships fund outstanding individuals to undertake projects that advance reform, spur debate, and catalyze change on a range of issues facing the U.S. criminal justice system.... The Soros Justice Advocacy Fellowships fund lawyers, advocates, grassroots organizers, researchers, and others with unique perspectives to undertake full-time criminal justice reform projects at the local, state, and national levels.... The Soros Justice Media Fellowships support writers, print and broadcast journalists, artists, filmmakers, and other individuals with distinctive voices proposing to complete media projects that engage and inform, spur debate and conversation, and catalyze change on important U.S. criminal justice issues.... The Soros Justice Youth Activist Fellowships, in partnership with the Open Society Youth Exchange, support outstanding individuals aged 18 to 25 to take on projects of their own design that address some aspect of the U.S. criminal justice system."</t>
  </si>
  <si>
    <t>No new DEADLINE as of 3.5.19
"Applicants for the Open Society Fellowship are invited to address the following proposition:
New and radical forms of ownership, governance, entrepreneurship, and financialization are needed to fight pervasive economic inequality.
This proposition is intended as a provocation—to stimulate productive controversy and debate—and does not necessarily represent the views of the Open Society Foundations. Applicants are invited to dispute, substantiate, or otherwise engage with the proposition in their submissions. Though the proposition deals with economic issues, those without an economics or business background are welcome to apply, provided they have a relevant project in mind.
Once chosen, fellows will work on projects of their own design and passion. At the same time, they are expected to take advantage of the intellectual and logistical resources of the Open Society Foundations and contribute meaningfully to the Foundations’ thinking. Fellows will also have opportunities to collaborate with one another as a cohort. It is hoped that the fellowship will not only nurture theoretical debate but also bring about policy change and reform."</t>
  </si>
  <si>
    <t>Program closed?
"The Kauffman Foundation established the Kauffman Junior Faculty Fellowship in Entrepreneurship Research in 2008 to recognize tenured or tenure-track junior faculty members at accredited U.S. universities who are beginning to establish a record of scholarship and exhibit the potential to make significant contributions to the body of research in the field of entrepreneurship."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</si>
</sst>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quot;/&quot;d&quot;/&quot;yy"/>
    <numFmt numFmtId="165" formatCode="m/d/yy"/>
    <numFmt numFmtId="166" formatCode="&quot;$&quot;#,##0"/>
    <numFmt numFmtId="167" formatCode="&quot;$&quot;#,##0.00"/>
    <numFmt numFmtId="168" formatCode="[$€]#,##0.00"/>
  </numFmts>
  <fonts count="44">
    <font>
      <sz val="11"/>
      <color rgb="FF000000"/>
      <name val="Calibri"/>
    </font>
    <font>
      <b/>
      <sz val="10"/>
      <color rgb="FF000000"/>
      <name val="Calibri"/>
    </font>
    <font>
      <sz val="10"/>
      <name val="Calibri"/>
    </font>
    <font>
      <u/>
      <sz val="10"/>
      <color rgb="FF366092"/>
      <name val="Calibri"/>
    </font>
    <font>
      <sz val="10"/>
      <color rgb="FF366092"/>
      <name val="Calibri"/>
    </font>
    <font>
      <u/>
      <sz val="10"/>
      <color rgb="FF366092"/>
      <name val="Calibri"/>
    </font>
    <font>
      <sz val="10"/>
      <color rgb="FF000000"/>
      <name val="Calibri"/>
    </font>
    <font>
      <u/>
      <sz val="10"/>
      <color rgb="FF0070C0"/>
      <name val="Calibri"/>
    </font>
    <font>
      <u/>
      <sz val="10"/>
      <color rgb="FF366092"/>
      <name val="Calibri"/>
    </font>
    <font>
      <sz val="10"/>
      <name val="Calibri"/>
    </font>
    <font>
      <u/>
      <sz val="10"/>
      <color rgb="FF0000FF"/>
      <name val="Calibri"/>
    </font>
    <font>
      <u/>
      <sz val="10"/>
      <color rgb="FF366092"/>
      <name val="Calibri"/>
    </font>
    <font>
      <sz val="10"/>
      <color rgb="FF3366CC"/>
      <name val="Calibri"/>
    </font>
    <font>
      <u/>
      <sz val="10"/>
      <color rgb="FF366092"/>
      <name val="Calibri"/>
    </font>
    <font>
      <u/>
      <sz val="10"/>
      <color rgb="FF0070C0"/>
      <name val="Calibri"/>
    </font>
    <font>
      <u/>
      <sz val="10"/>
      <color rgb="FF000000"/>
      <name val="Arial"/>
    </font>
    <font>
      <sz val="10"/>
      <color rgb="FF0070C0"/>
      <name val="Calibri"/>
    </font>
    <font>
      <u/>
      <sz val="10"/>
      <color rgb="FF0070C0"/>
      <name val="Calibri"/>
    </font>
    <font>
      <u/>
      <sz val="10"/>
      <color rgb="FF366092"/>
      <name val="Calibri"/>
    </font>
    <font>
      <u/>
      <sz val="10"/>
      <color rgb="FF0070C0"/>
      <name val="Calibri"/>
    </font>
    <font>
      <u/>
      <sz val="10"/>
      <color rgb="FF366092"/>
      <name val="Calibri"/>
    </font>
    <font>
      <u/>
      <sz val="10"/>
      <color rgb="FF0070C0"/>
      <name val="Calibri"/>
    </font>
    <font>
      <u/>
      <sz val="10"/>
      <color rgb="FF366092"/>
      <name val="Calibri"/>
    </font>
    <font>
      <u/>
      <sz val="11"/>
      <color rgb="FF366092"/>
      <name val="Docs-Calibri"/>
    </font>
    <font>
      <u/>
      <sz val="10"/>
      <color rgb="FF003366"/>
      <name val="Calibri"/>
    </font>
    <font>
      <sz val="10"/>
      <color rgb="FF777777"/>
      <name val="Arial"/>
    </font>
    <font>
      <u/>
      <sz val="10"/>
      <color rgb="FF777777"/>
      <name val="Arial"/>
    </font>
    <font>
      <sz val="11"/>
      <name val="Calibri"/>
    </font>
    <font>
      <u/>
      <sz val="10"/>
      <color rgb="FF464646"/>
      <name val="Calibri"/>
    </font>
    <font>
      <u/>
      <sz val="10"/>
      <color rgb="FF0000FF"/>
      <name val="Calibri"/>
    </font>
    <font>
      <sz val="10"/>
      <color rgb="FF333333"/>
      <name val="Calibri"/>
    </font>
    <font>
      <u/>
      <sz val="10"/>
      <color rgb="FF0000FF"/>
      <name val="Calibri"/>
    </font>
    <font>
      <u/>
      <sz val="10"/>
      <color rgb="FF000000"/>
      <name val="Calibri"/>
    </font>
    <font>
      <u/>
      <sz val="10"/>
      <color rgb="FF000000"/>
      <name val="Calibri"/>
    </font>
    <font>
      <u/>
      <sz val="10"/>
      <color rgb="FF366092"/>
      <name val="Calibri"/>
    </font>
    <font>
      <u/>
      <sz val="10"/>
      <color rgb="FF003366"/>
      <name val="Calibri"/>
    </font>
    <font>
      <u/>
      <sz val="11"/>
      <color theme="10"/>
      <name val="Calibri"/>
    </font>
    <font>
      <sz val="11"/>
      <color rgb="FF131D22"/>
      <name val="Arial"/>
      <family val="2"/>
    </font>
    <font>
      <sz val="11"/>
      <color rgb="FF131D22"/>
      <name val="Calibri"/>
      <family val="2"/>
      <scheme val="minor"/>
    </font>
    <font>
      <sz val="10"/>
      <name val="Calibri"/>
      <family val="2"/>
    </font>
    <font>
      <u/>
      <sz val="10"/>
      <color rgb="FF366092"/>
      <name val="Calibri"/>
      <family val="2"/>
    </font>
    <font>
      <sz val="10"/>
      <color rgb="FF000000"/>
      <name val="Calibri"/>
      <family val="2"/>
    </font>
    <font>
      <sz val="10"/>
      <color rgb="FF366092"/>
      <name val="Calibri"/>
      <family val="2"/>
    </font>
    <font>
      <sz val="11"/>
      <color rgb="FF000000"/>
      <name val="Calibri"/>
      <family val="2"/>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6" fillId="0" borderId="0" applyNumberFormat="0" applyFill="0" applyBorder="0" applyAlignment="0" applyProtection="0"/>
  </cellStyleXfs>
  <cellXfs count="90">
    <xf numFmtId="0" fontId="0" fillId="0" borderId="0" xfId="0" applyFont="1" applyAlignment="1"/>
    <xf numFmtId="16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0" fontId="0" fillId="0" borderId="0" xfId="0" applyFont="1" applyFill="1" applyAlignment="1"/>
    <xf numFmtId="165"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6" fillId="0" borderId="1" xfId="0" applyFont="1" applyFill="1" applyBorder="1" applyAlignment="1">
      <alignment horizontal="left"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0" fillId="0" borderId="1" xfId="0" applyFont="1" applyFill="1" applyBorder="1" applyAlignment="1">
      <alignment wrapText="1"/>
    </xf>
    <xf numFmtId="0" fontId="17" fillId="0" borderId="1" xfId="0" applyFont="1" applyFill="1" applyBorder="1" applyAlignment="1">
      <alignment horizontal="center" vertical="center" wrapText="1"/>
    </xf>
    <xf numFmtId="0" fontId="2" fillId="0" borderId="1" xfId="0" applyFont="1" applyFill="1" applyBorder="1" applyAlignment="1">
      <alignment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7" fillId="0" borderId="1" xfId="0" applyFont="1" applyFill="1" applyBorder="1" applyAlignment="1">
      <alignment wrapText="1"/>
    </xf>
    <xf numFmtId="0" fontId="29" fillId="0" borderId="1" xfId="0"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64" fontId="2"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166" fontId="6"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7" fillId="0" borderId="0" xfId="0" applyFont="1" applyAlignment="1">
      <alignment vertical="center" wrapText="1"/>
    </xf>
    <xf numFmtId="0" fontId="38" fillId="0" borderId="0" xfId="0" applyFont="1" applyAlignment="1">
      <alignment vertical="center" wrapText="1"/>
    </xf>
    <xf numFmtId="0" fontId="41"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36" fillId="0" borderId="1" xfId="1" applyFill="1" applyBorder="1" applyAlignment="1">
      <alignment horizontal="center" vertical="center" wrapText="1"/>
    </xf>
    <xf numFmtId="0" fontId="40" fillId="0" borderId="1"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41" fillId="0" borderId="4" xfId="0" applyFont="1" applyBorder="1" applyAlignment="1">
      <alignment horizontal="center" vertical="center" wrapText="1"/>
    </xf>
    <xf numFmtId="14" fontId="41" fillId="0" borderId="4" xfId="0" applyNumberFormat="1" applyFont="1" applyFill="1" applyBorder="1" applyAlignment="1">
      <alignment horizontal="center" vertical="center" wrapText="1"/>
    </xf>
    <xf numFmtId="0" fontId="36" fillId="0" borderId="4" xfId="1" applyFill="1" applyBorder="1" applyAlignment="1">
      <alignment horizontal="center" vertical="center" wrapText="1"/>
    </xf>
    <xf numFmtId="0" fontId="42" fillId="0" borderId="4"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4" xfId="0" applyFont="1" applyFill="1" applyBorder="1" applyAlignment="1">
      <alignment vertical="center" wrapText="1"/>
    </xf>
    <xf numFmtId="0" fontId="13" fillId="0" borderId="2" xfId="0" applyFont="1" applyFill="1" applyBorder="1" applyAlignment="1">
      <alignment horizontal="center" vertical="center" wrapText="1"/>
    </xf>
    <xf numFmtId="14" fontId="41" fillId="0" borderId="4" xfId="0" applyNumberFormat="1" applyFont="1" applyBorder="1" applyAlignment="1">
      <alignment horizontal="center" vertical="center" wrapText="1"/>
    </xf>
    <xf numFmtId="0" fontId="36" fillId="0" borderId="4" xfId="1" applyBorder="1" applyAlignment="1">
      <alignment horizontal="center" vertical="center" wrapText="1"/>
    </xf>
    <xf numFmtId="0" fontId="42" fillId="0" borderId="4" xfId="0" applyFont="1" applyBorder="1" applyAlignment="1">
      <alignment horizontal="center" vertical="center" wrapText="1"/>
    </xf>
    <xf numFmtId="0" fontId="43" fillId="0" borderId="4" xfId="0" applyFont="1" applyBorder="1" applyAlignment="1">
      <alignment vertical="center" wrapText="1"/>
    </xf>
    <xf numFmtId="0" fontId="41" fillId="0" borderId="4" xfId="0" applyFont="1" applyBorder="1" applyAlignment="1">
      <alignment vertical="center" wrapText="1"/>
    </xf>
  </cellXfs>
  <cellStyles count="2">
    <cellStyle name="Hyperlink" xfId="1" builtinId="8"/>
    <cellStyle name="Normal" xfId="0" builtinId="0"/>
  </cellStyles>
  <dxfs count="13">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0"/>
        <color rgb="FF366092"/>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366092"/>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0"/>
        <color rgb="FF366092"/>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Calibri"/>
        <scheme val="none"/>
      </font>
      <numFmt numFmtId="164" formatCode="m&quot;/&quot;d&quot;/&quot;yy"/>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top style="thin">
          <color rgb="FF000000"/>
        </top>
        <bottom style="thin">
          <color rgb="FF000000"/>
        </bottom>
      </border>
    </dxf>
    <dxf>
      <font>
        <b val="0"/>
        <i val="0"/>
        <strike val="0"/>
        <condense val="0"/>
        <extend val="0"/>
        <outline val="0"/>
        <shadow val="0"/>
        <u val="none"/>
        <vertAlign val="baseline"/>
        <sz val="10"/>
        <color rgb="FF000000"/>
        <name val="Calibri"/>
        <scheme val="none"/>
      </font>
      <fill>
        <patternFill patternType="none">
          <fgColor indexed="64"/>
          <bgColor indexed="65"/>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rgb="FF000000"/>
        <name val="Calibri"/>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I282" totalsRowShown="0" headerRowDxfId="12" dataDxfId="10" headerRowBorderDxfId="11" tableBorderDxfId="9">
  <autoFilter ref="A1:I282"/>
  <sortState ref="A2:I281">
    <sortCondition ref="E1:E281"/>
  </sortState>
  <tableColumns count="9">
    <tableColumn id="1" name="Due date" dataDxfId="8"/>
    <tableColumn id="2" name="Sponsor" dataDxfId="7"/>
    <tableColumn id="3" name="Org type" dataDxfId="6"/>
    <tableColumn id="4" name="Program " dataDxfId="5"/>
    <tableColumn id="5" name="Department" dataDxfId="4"/>
    <tableColumn id="6" name="Type" dataDxfId="3"/>
    <tableColumn id="7" name="Stage of career_x000a_(if specified)" dataDxfId="2"/>
    <tableColumn id="8" name="Funding range _x000a_(if specified)" dataDxfId="1"/>
    <tableColumn id="9" name="Notes and 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mericanacademy.de/apply/apply-for-a-fellowship/" TargetMode="External"/><Relationship Id="rId18" Type="http://schemas.openxmlformats.org/officeDocument/2006/relationships/hyperlink" Target="http://artomi.org/residencies/art" TargetMode="External"/><Relationship Id="rId26" Type="http://schemas.openxmlformats.org/officeDocument/2006/relationships/hyperlink" Target="http://www.aarome.org/apply" TargetMode="External"/><Relationship Id="rId39" Type="http://schemas.openxmlformats.org/officeDocument/2006/relationships/hyperlink" Target="http://artomi.org/" TargetMode="External"/><Relationship Id="rId21" Type="http://schemas.openxmlformats.org/officeDocument/2006/relationships/hyperlink" Target="http://artomi.org/" TargetMode="External"/><Relationship Id="rId34" Type="http://schemas.openxmlformats.org/officeDocument/2006/relationships/hyperlink" Target="https://www.nypl.org/help/about-nypl/fellowships-institutes/schomburg-center-scholars-in-residency" TargetMode="External"/><Relationship Id="rId42" Type="http://schemas.openxmlformats.org/officeDocument/2006/relationships/hyperlink" Target="http://45.55.141.4/residencies/art-omi-music" TargetMode="External"/><Relationship Id="rId47" Type="http://schemas.openxmlformats.org/officeDocument/2006/relationships/hyperlink" Target="http://winterthur.org/fellowship" TargetMode="External"/><Relationship Id="rId50" Type="http://schemas.openxmlformats.org/officeDocument/2006/relationships/hyperlink" Target="http://www.vahistorical.org/collections-and-resources/how-we-can-help-your-research/researcher-resources/research-fellowship-and?legacy=true" TargetMode="External"/><Relationship Id="rId55" Type="http://schemas.openxmlformats.org/officeDocument/2006/relationships/hyperlink" Target="http://www.baylor.edu/lib/texas/index.php?id=868670" TargetMode="External"/><Relationship Id="rId63" Type="http://schemas.openxmlformats.org/officeDocument/2006/relationships/hyperlink" Target="https://www.hagley.org/research/grants-fellowships" TargetMode="External"/><Relationship Id="rId68" Type="http://schemas.openxmlformats.org/officeDocument/2006/relationships/hyperlink" Target="https://www.aauw.org/what-we-do/educational-funding-and-awards/american-fellowships/af-postdoctoral-research-application/" TargetMode="External"/><Relationship Id="rId76" Type="http://schemas.openxmlformats.org/officeDocument/2006/relationships/hyperlink" Target="http://www.fas.nus.edu.sg/visit/nusstanfordsea.html" TargetMode="External"/><Relationship Id="rId7" Type="http://schemas.openxmlformats.org/officeDocument/2006/relationships/hyperlink" Target="http://www.gei.de/en/fellowships-awards/fellowship-programme.html" TargetMode="External"/><Relationship Id="rId71" Type="http://schemas.openxmlformats.org/officeDocument/2006/relationships/hyperlink" Target="https://smlr.rutgers.edu/content/louis-o-kelso-fellowship" TargetMode="External"/><Relationship Id="rId2" Type="http://schemas.openxmlformats.org/officeDocument/2006/relationships/hyperlink" Target="https://eastwestdialogue.org/fellowship/" TargetMode="External"/><Relationship Id="rId16" Type="http://schemas.openxmlformats.org/officeDocument/2006/relationships/hyperlink" Target="https://www.nga.gov/research/casva/fellowships/senior-fellowships.html" TargetMode="External"/><Relationship Id="rId29" Type="http://schemas.openxmlformats.org/officeDocument/2006/relationships/hyperlink" Target="https://casbs.stanford.edu/fellowship-application-guidelines-and-selection-process" TargetMode="External"/><Relationship Id="rId11" Type="http://schemas.openxmlformats.org/officeDocument/2006/relationships/hyperlink" Target="https://kellogg.nd.edu/opportunities/visiting-faculty/about-our-visiting-fellowships" TargetMode="External"/><Relationship Id="rId24" Type="http://schemas.openxmlformats.org/officeDocument/2006/relationships/hyperlink" Target="https://www.cfr.org/fellowships/international-affairs-fellowship" TargetMode="External"/><Relationship Id="rId32" Type="http://schemas.openxmlformats.org/officeDocument/2006/relationships/hyperlink" Target="http://www.huntington.org/fellowships/" TargetMode="External"/><Relationship Id="rId37" Type="http://schemas.openxmlformats.org/officeDocument/2006/relationships/hyperlink" Target="http://www.crassh.cam.ac.uk/programmes/balzan-skinner-fellowship" TargetMode="External"/><Relationship Id="rId40" Type="http://schemas.openxmlformats.org/officeDocument/2006/relationships/hyperlink" Target="http://45.55.141.4/residencies/art-omi-dance" TargetMode="External"/><Relationship Id="rId45" Type="http://schemas.openxmlformats.org/officeDocument/2006/relationships/hyperlink" Target="http://britishart.yale.edu/research/residential-scholar-awards/visiting-scholar-awards" TargetMode="External"/><Relationship Id="rId53" Type="http://schemas.openxmlformats.org/officeDocument/2006/relationships/hyperlink" Target="http://ethics.utoronto.ca/people/visiting-faculty-fellowships/" TargetMode="External"/><Relationship Id="rId58" Type="http://schemas.openxmlformats.org/officeDocument/2006/relationships/hyperlink" Target="http://www.neh.gov/grants/research/fellowships" TargetMode="External"/><Relationship Id="rId66" Type="http://schemas.openxmlformats.org/officeDocument/2006/relationships/hyperlink" Target="https://www.nga.gov/research/casva/fellowships/visiting-senior-fellowships.html" TargetMode="External"/><Relationship Id="rId74" Type="http://schemas.openxmlformats.org/officeDocument/2006/relationships/hyperlink" Target="https://clags.org/fellowships-and-awards3/" TargetMode="External"/><Relationship Id="rId79" Type="http://schemas.openxmlformats.org/officeDocument/2006/relationships/printerSettings" Target="../printerSettings/printerSettings1.bin"/><Relationship Id="rId5" Type="http://schemas.openxmlformats.org/officeDocument/2006/relationships/hyperlink" Target="https://rework.hu-berlin.de/en/fellowships.html" TargetMode="External"/><Relationship Id="rId61" Type="http://schemas.openxmlformats.org/officeDocument/2006/relationships/hyperlink" Target="http://www.wennergren.org/programs/hunt-postdoctoral-fellowships" TargetMode="External"/><Relationship Id="rId10" Type="http://schemas.openxmlformats.org/officeDocument/2006/relationships/hyperlink" Target="https://www.gf.org/applicants/" TargetMode="External"/><Relationship Id="rId19" Type="http://schemas.openxmlformats.org/officeDocument/2006/relationships/hyperlink" Target="http://artomi.org/" TargetMode="External"/><Relationship Id="rId31" Type="http://schemas.openxmlformats.org/officeDocument/2006/relationships/hyperlink" Target="https://www.sns.ias.edu/apply" TargetMode="External"/><Relationship Id="rId44" Type="http://schemas.openxmlformats.org/officeDocument/2006/relationships/hyperlink" Target="http://www.apa.org/about/awards/congress-fellow.aspx" TargetMode="External"/><Relationship Id="rId52" Type="http://schemas.openxmlformats.org/officeDocument/2006/relationships/hyperlink" Target="http://www.klingfund.org/index.php" TargetMode="External"/><Relationship Id="rId60" Type="http://schemas.openxmlformats.org/officeDocument/2006/relationships/hyperlink" Target="http://www.neh.gov/grants/research/fellowships-advanced-social-science-research-japan" TargetMode="External"/><Relationship Id="rId65" Type="http://schemas.openxmlformats.org/officeDocument/2006/relationships/hyperlink" Target="http://www.cies.org/program/core-fulbright-us-scholar-program" TargetMode="External"/><Relationship Id="rId73" Type="http://schemas.openxmlformats.org/officeDocument/2006/relationships/hyperlink" Target="https://www.usip.org/grants-fellowships/fellowships" TargetMode="External"/><Relationship Id="rId78" Type="http://schemas.openxmlformats.org/officeDocument/2006/relationships/hyperlink" Target="https://www.sss.ias.edu/applications-school-social-science-2019-20" TargetMode="External"/><Relationship Id="rId4" Type="http://schemas.openxmlformats.org/officeDocument/2006/relationships/hyperlink" Target="http://wtgrantfoundation.org/Grants" TargetMode="External"/><Relationship Id="rId9" Type="http://schemas.openxmlformats.org/officeDocument/2006/relationships/hyperlink" Target="https://ndias.nd.edu/fellowships/" TargetMode="External"/><Relationship Id="rId14" Type="http://schemas.openxmlformats.org/officeDocument/2006/relationships/hyperlink" Target="https://www.obama.org/fellowship/" TargetMode="External"/><Relationship Id="rId22" Type="http://schemas.openxmlformats.org/officeDocument/2006/relationships/hyperlink" Target="http://artomi.org/residencies/architecture" TargetMode="External"/><Relationship Id="rId27" Type="http://schemas.openxmlformats.org/officeDocument/2006/relationships/hyperlink" Target="https://nhfp.stsci.edu/" TargetMode="External"/><Relationship Id="rId30" Type="http://schemas.openxmlformats.org/officeDocument/2006/relationships/hyperlink" Target="https://uchv.princeton.edu/fellowships-awards/laurance-s-rockefeller-visiting-faculty-fellowships" TargetMode="External"/><Relationship Id="rId35" Type="http://schemas.openxmlformats.org/officeDocument/2006/relationships/hyperlink" Target="https://history.princeton.edu/centers-programs/shelby-cullom-davis-center/fellowships" TargetMode="External"/><Relationship Id="rId43" Type="http://schemas.openxmlformats.org/officeDocument/2006/relationships/hyperlink" Target="http://www.chemheritage.org/research/beckman-center/beckman-center-fellowships/index.aspx?utm_source=BeckmanCenter&amp;utm_medium=web&amp;utm_campaign=redirect" TargetMode="External"/><Relationship Id="rId48" Type="http://schemas.openxmlformats.org/officeDocument/2006/relationships/hyperlink" Target="https://www.aps.org/policy/fellowships/congressional.cfm" TargetMode="External"/><Relationship Id="rId56" Type="http://schemas.openxmlformats.org/officeDocument/2006/relationships/hyperlink" Target="https://www.historians.org/awards-and-grants/grants-and-fellowships/j-franklin-jameson-fellowship" TargetMode="External"/><Relationship Id="rId64" Type="http://schemas.openxmlformats.org/officeDocument/2006/relationships/hyperlink" Target="https://clags.org/scholar-in-residence-fellowship/" TargetMode="External"/><Relationship Id="rId69" Type="http://schemas.openxmlformats.org/officeDocument/2006/relationships/hyperlink" Target="http://rockarch.org/grants/generalgia.php" TargetMode="External"/><Relationship Id="rId77" Type="http://schemas.openxmlformats.org/officeDocument/2006/relationships/hyperlink" Target="https://www.ias.edu/" TargetMode="External"/><Relationship Id="rId8" Type="http://schemas.openxmlformats.org/officeDocument/2006/relationships/hyperlink" Target="https://sloan.org/fellowships" TargetMode="External"/><Relationship Id="rId51" Type="http://schemas.openxmlformats.org/officeDocument/2006/relationships/hyperlink" Target="http://classics.uc.edu/index.php/tytus/64-tytusinfo" TargetMode="External"/><Relationship Id="rId72" Type="http://schemas.openxmlformats.org/officeDocument/2006/relationships/hyperlink" Target="http://www.bfny.org/en/apply" TargetMode="External"/><Relationship Id="rId80" Type="http://schemas.openxmlformats.org/officeDocument/2006/relationships/table" Target="../tables/table1.xml"/><Relationship Id="rId3" Type="http://schemas.openxmlformats.org/officeDocument/2006/relationships/hyperlink" Target="http://www.austenriggs.org/erikson-scholar-program" TargetMode="External"/><Relationship Id="rId12" Type="http://schemas.openxmlformats.org/officeDocument/2006/relationships/hyperlink" Target="http://shc.stanford.edu/fellowships/non-stanford-faculty" TargetMode="External"/><Relationship Id="rId17" Type="http://schemas.openxmlformats.org/officeDocument/2006/relationships/hyperlink" Target="http://artomi.org/" TargetMode="External"/><Relationship Id="rId25" Type="http://schemas.openxmlformats.org/officeDocument/2006/relationships/hyperlink" Target="https://lclf.harvard.edu/" TargetMode="External"/><Relationship Id="rId33" Type="http://schemas.openxmlformats.org/officeDocument/2006/relationships/hyperlink" Target="http://isaw.nyu.edu/visiting-scholars" TargetMode="External"/><Relationship Id="rId38" Type="http://schemas.openxmlformats.org/officeDocument/2006/relationships/hyperlink" Target="https://www.newberry.org/short-term-fellowships" TargetMode="External"/><Relationship Id="rId46" Type="http://schemas.openxmlformats.org/officeDocument/2006/relationships/hyperlink" Target="http://www.huri.harvard.edu/fellowships-grants-internships/fellows-ukrstudies.html" TargetMode="External"/><Relationship Id="rId59" Type="http://schemas.openxmlformats.org/officeDocument/2006/relationships/hyperlink" Target="http://lgbts.yale.edu/research" TargetMode="External"/><Relationship Id="rId67" Type="http://schemas.openxmlformats.org/officeDocument/2006/relationships/hyperlink" Target="http://www.sah.org/jobs-and-careers/sah-fellowships-and-grants/h-allen-brooks-travelling-fellowship" TargetMode="External"/><Relationship Id="rId20" Type="http://schemas.openxmlformats.org/officeDocument/2006/relationships/hyperlink" Target="http://artomi.org/residencies/writers" TargetMode="External"/><Relationship Id="rId41" Type="http://schemas.openxmlformats.org/officeDocument/2006/relationships/hyperlink" Target="http://artomi.org/" TargetMode="External"/><Relationship Id="rId54" Type="http://schemas.openxmlformats.org/officeDocument/2006/relationships/hyperlink" Target="http://www.ucrossfoundation.org/residency-program/" TargetMode="External"/><Relationship Id="rId62" Type="http://schemas.openxmlformats.org/officeDocument/2006/relationships/hyperlink" Target="https://www.russellsage.org/how-to-apply/visiting-scholars-program" TargetMode="External"/><Relationship Id="rId70" Type="http://schemas.openxmlformats.org/officeDocument/2006/relationships/hyperlink" Target="https://www.archaeological.org/grants/702" TargetMode="External"/><Relationship Id="rId75" Type="http://schemas.openxmlformats.org/officeDocument/2006/relationships/hyperlink" Target="http://www.nus.edu.sg/" TargetMode="External"/><Relationship Id="rId1" Type="http://schemas.openxmlformats.org/officeDocument/2006/relationships/hyperlink" Target="https://www.okeeffemuseum.org/research-center/fellowship-program/" TargetMode="External"/><Relationship Id="rId6" Type="http://schemas.openxmlformats.org/officeDocument/2006/relationships/hyperlink" Target="https://www.radcliffe.harvard.edu/fellowship-program" TargetMode="External"/><Relationship Id="rId15" Type="http://schemas.openxmlformats.org/officeDocument/2006/relationships/hyperlink" Target="https://www.opensocietyfoundations.org/grants/soros-justice-fellowships" TargetMode="External"/><Relationship Id="rId23" Type="http://schemas.openxmlformats.org/officeDocument/2006/relationships/hyperlink" Target="http://sites.nationalacademies.org/pga/jefferson/?_ga=2.157111035.1954131380.1509474902-2139803928.1509474902" TargetMode="External"/><Relationship Id="rId28" Type="http://schemas.openxmlformats.org/officeDocument/2006/relationships/hyperlink" Target="http://fitchfoundation.org/grants/fitch-kress/" TargetMode="External"/><Relationship Id="rId36" Type="http://schemas.openxmlformats.org/officeDocument/2006/relationships/hyperlink" Target="https://www.amphilsoc.org/grants/franklin-research-grants" TargetMode="External"/><Relationship Id="rId49" Type="http://schemas.openxmlformats.org/officeDocument/2006/relationships/hyperlink" Target="https://www.nyfa.org/Content/Show/Artists'%20Fellowships" TargetMode="External"/><Relationship Id="rId57" Type="http://schemas.openxmlformats.org/officeDocument/2006/relationships/hyperlink" Target="http://www.quaibranly.fr/en/scientific-research/activities/scholarships-and-thesis-prizes/research-fellow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282"/>
  <sheetViews>
    <sheetView tabSelected="1" workbookViewId="0">
      <pane ySplit="1" topLeftCell="A277" activePane="bottomLeft" state="frozen"/>
      <selection pane="bottomLeft" activeCell="I278" sqref="I278"/>
    </sheetView>
  </sheetViews>
  <sheetFormatPr defaultColWidth="14.42578125" defaultRowHeight="15" customHeight="1"/>
  <cols>
    <col min="1" max="1" width="10.85546875" customWidth="1"/>
    <col min="2" max="2" width="26.7109375" customWidth="1"/>
    <col min="3" max="3" width="10.140625" customWidth="1"/>
    <col min="4" max="4" width="38.28515625" customWidth="1"/>
    <col min="5" max="5" width="15.28515625" customWidth="1"/>
    <col min="6" max="6" width="10.140625" customWidth="1"/>
    <col min="7" max="7" width="11.5703125" customWidth="1"/>
    <col min="8" max="8" width="13.7109375" customWidth="1"/>
    <col min="9" max="9" width="54.28515625" customWidth="1"/>
  </cols>
  <sheetData>
    <row r="1" spans="1:9" ht="38.25">
      <c r="A1" s="50" t="s">
        <v>0</v>
      </c>
      <c r="B1" s="51" t="s">
        <v>1</v>
      </c>
      <c r="C1" s="52" t="s">
        <v>557</v>
      </c>
      <c r="D1" s="51" t="s">
        <v>2</v>
      </c>
      <c r="E1" s="52" t="s">
        <v>3</v>
      </c>
      <c r="F1" s="52" t="s">
        <v>4</v>
      </c>
      <c r="G1" s="52" t="s">
        <v>5</v>
      </c>
      <c r="H1" s="52" t="s">
        <v>6</v>
      </c>
      <c r="I1" s="53" t="s">
        <v>7</v>
      </c>
    </row>
    <row r="2" spans="1:9" s="10" customFormat="1" ht="165.75">
      <c r="A2" s="1">
        <v>43770</v>
      </c>
      <c r="B2" s="4" t="str">
        <f>HYPERLINK("https://www.monticello.org/","Thomas Jefferson Foundation")</f>
        <v>Thomas Jefferson Foundation</v>
      </c>
      <c r="C2" s="3" t="s">
        <v>15</v>
      </c>
      <c r="D2" s="4" t="str">
        <f>HYPERLINK("https://www.monticello.org/site/research-and-collections/batten-first-union-and-peter-nicolaisen-international-fellowships","Short Term Fellowships")</f>
        <v>Short Term Fellowships</v>
      </c>
      <c r="E2" s="5" t="s">
        <v>474</v>
      </c>
      <c r="F2" s="6" t="s">
        <v>12</v>
      </c>
      <c r="G2" s="6"/>
      <c r="H2" s="7" t="s">
        <v>475</v>
      </c>
      <c r="I2" s="12" t="s">
        <v>476</v>
      </c>
    </row>
    <row r="3" spans="1:9" s="10" customFormat="1" ht="114.75">
      <c r="A3" s="1">
        <v>43467</v>
      </c>
      <c r="B3" s="31" t="s">
        <v>140</v>
      </c>
      <c r="C3" s="3" t="s">
        <v>15</v>
      </c>
      <c r="D3" s="31" t="s">
        <v>259</v>
      </c>
      <c r="E3" s="5" t="s">
        <v>560</v>
      </c>
      <c r="F3" s="6" t="s">
        <v>12</v>
      </c>
      <c r="G3" s="18"/>
      <c r="H3" s="6" t="s">
        <v>134</v>
      </c>
      <c r="I3" s="12" t="s">
        <v>253</v>
      </c>
    </row>
    <row r="4" spans="1:9" s="10" customFormat="1" ht="140.25">
      <c r="A4" s="1">
        <v>43393</v>
      </c>
      <c r="B4" s="31" t="s">
        <v>140</v>
      </c>
      <c r="C4" s="3" t="s">
        <v>15</v>
      </c>
      <c r="D4" s="31" t="s">
        <v>153</v>
      </c>
      <c r="E4" s="5" t="s">
        <v>154</v>
      </c>
      <c r="F4" s="6" t="s">
        <v>12</v>
      </c>
      <c r="G4" s="18" t="s">
        <v>155</v>
      </c>
      <c r="H4" s="6" t="s">
        <v>134</v>
      </c>
      <c r="I4" s="12" t="s">
        <v>156</v>
      </c>
    </row>
    <row r="5" spans="1:9" s="10" customFormat="1" ht="127.5">
      <c r="A5" s="1">
        <v>43467</v>
      </c>
      <c r="B5" s="31" t="s">
        <v>140</v>
      </c>
      <c r="C5" s="3" t="s">
        <v>15</v>
      </c>
      <c r="D5" s="31" t="s">
        <v>257</v>
      </c>
      <c r="E5" s="5" t="s">
        <v>258</v>
      </c>
      <c r="F5" s="6" t="s">
        <v>12</v>
      </c>
      <c r="G5" s="18"/>
      <c r="H5" s="6" t="s">
        <v>134</v>
      </c>
      <c r="I5" s="12" t="s">
        <v>255</v>
      </c>
    </row>
    <row r="6" spans="1:9" s="10" customFormat="1" ht="141">
      <c r="A6" s="1">
        <v>43388</v>
      </c>
      <c r="B6" s="31" t="s">
        <v>140</v>
      </c>
      <c r="C6" s="3" t="s">
        <v>15</v>
      </c>
      <c r="D6" s="31" t="s">
        <v>141</v>
      </c>
      <c r="E6" s="5" t="s">
        <v>142</v>
      </c>
      <c r="F6" s="6" t="s">
        <v>12</v>
      </c>
      <c r="G6" s="18" t="s">
        <v>133</v>
      </c>
      <c r="H6" s="6" t="s">
        <v>134</v>
      </c>
      <c r="I6" s="32" t="s">
        <v>135</v>
      </c>
    </row>
    <row r="7" spans="1:9" s="10" customFormat="1" ht="140.25">
      <c r="A7" s="1">
        <v>43388</v>
      </c>
      <c r="B7" s="31" t="s">
        <v>140</v>
      </c>
      <c r="C7" s="3" t="s">
        <v>15</v>
      </c>
      <c r="D7" s="31" t="s">
        <v>143</v>
      </c>
      <c r="E7" s="5" t="s">
        <v>144</v>
      </c>
      <c r="F7" s="6" t="s">
        <v>12</v>
      </c>
      <c r="G7" s="18"/>
      <c r="H7" s="6" t="s">
        <v>134</v>
      </c>
      <c r="I7" s="12" t="s">
        <v>137</v>
      </c>
    </row>
    <row r="8" spans="1:9" s="10" customFormat="1" ht="114.75">
      <c r="A8" s="1">
        <v>43467</v>
      </c>
      <c r="B8" s="4" t="str">
        <f>HYPERLINK("http://artomi.org/","Art Omi")</f>
        <v>Art Omi</v>
      </c>
      <c r="C8" s="3" t="s">
        <v>15</v>
      </c>
      <c r="D8" s="4" t="str">
        <f>HYPERLINK("http://45.55.141.4/residencies/art-omi-music","Art Omi: Music Residency")</f>
        <v>Art Omi: Music Residency</v>
      </c>
      <c r="E8" s="5" t="s">
        <v>54</v>
      </c>
      <c r="F8" s="6" t="s">
        <v>12</v>
      </c>
      <c r="G8" s="18"/>
      <c r="H8" s="6" t="s">
        <v>134</v>
      </c>
      <c r="I8" s="12" t="s">
        <v>253</v>
      </c>
    </row>
    <row r="9" spans="1:9" s="10" customFormat="1" ht="216.75">
      <c r="A9" s="1" t="s">
        <v>102</v>
      </c>
      <c r="B9" s="4" t="str">
        <f>HYPERLINK("https://nyuad.nyu.edu/en/","New York University Abu Dhabi Institute")</f>
        <v>New York University Abu Dhabi Institute</v>
      </c>
      <c r="C9" s="3" t="s">
        <v>8</v>
      </c>
      <c r="D9" s="4" t="str">
        <f>HYPERLINK("https://nyuad.nyu.edu/en/research/centers-labs-and-projects/humanities-research-fellowship-program.html","Humanities Research Fellowship")</f>
        <v>Humanities Research Fellowship</v>
      </c>
      <c r="E9" s="5" t="s">
        <v>537</v>
      </c>
      <c r="F9" s="6" t="s">
        <v>12</v>
      </c>
      <c r="G9" s="6" t="s">
        <v>538</v>
      </c>
      <c r="H9" s="7"/>
      <c r="I9" s="12" t="s">
        <v>539</v>
      </c>
    </row>
    <row r="10" spans="1:9" s="10" customFormat="1" ht="114.75">
      <c r="A10" s="1">
        <v>43250</v>
      </c>
      <c r="B10" s="4" t="str">
        <f>HYPERLINK("https://www.okeeffemuseum.org/","Georgia O'Keeffe Museum")</f>
        <v>Georgia O'Keeffe Museum</v>
      </c>
      <c r="C10" s="3" t="s">
        <v>29</v>
      </c>
      <c r="D10" s="13" t="s">
        <v>32</v>
      </c>
      <c r="E10" s="5" t="s">
        <v>33</v>
      </c>
      <c r="F10" s="6" t="s">
        <v>12</v>
      </c>
      <c r="G10" s="6"/>
      <c r="H10" s="6"/>
      <c r="I10" s="12" t="s">
        <v>34</v>
      </c>
    </row>
    <row r="11" spans="1:9" s="10" customFormat="1" ht="89.25">
      <c r="A11" s="1">
        <v>43358</v>
      </c>
      <c r="B11" s="4" t="str">
        <f>HYPERLINK("https://www.rsa.org/","Renaissance Society of America")</f>
        <v>Renaissance Society of America</v>
      </c>
      <c r="C11" s="3" t="s">
        <v>15</v>
      </c>
      <c r="D11" s="4" t="str">
        <f>HYPERLINK("https://www.rsa.org/page/fellowships","Samuel H. Kress Mid-Career Research and Publication Fellowships in Art History")</f>
        <v>Samuel H. Kress Mid-Career Research and Publication Fellowships in Art History</v>
      </c>
      <c r="E11" s="5" t="s">
        <v>33</v>
      </c>
      <c r="F11" s="5" t="s">
        <v>25</v>
      </c>
      <c r="G11" s="6" t="s">
        <v>76</v>
      </c>
      <c r="H11" s="7">
        <v>3000</v>
      </c>
      <c r="I11" s="12" t="s">
        <v>599</v>
      </c>
    </row>
    <row r="12" spans="1:9" s="10" customFormat="1" ht="242.25">
      <c r="A12" s="1">
        <v>43358</v>
      </c>
      <c r="B12" s="4" t="str">
        <f>HYPERLINK("https://www.rsa.org/","Renaissance Society of America")</f>
        <v>Renaissance Society of America</v>
      </c>
      <c r="C12" s="3" t="s">
        <v>15</v>
      </c>
      <c r="D12" s="4" t="str">
        <f>HYPERLINK("https://www.rsa.org/page/fellowships","Samuel H. Kress Short-Term Research Library Fellowships for Art Historians")</f>
        <v>Samuel H. Kress Short-Term Research Library Fellowships for Art Historians</v>
      </c>
      <c r="E12" s="5" t="s">
        <v>33</v>
      </c>
      <c r="F12" s="6" t="s">
        <v>12</v>
      </c>
      <c r="G12" s="6"/>
      <c r="H12" s="7" t="s">
        <v>77</v>
      </c>
      <c r="I12" s="12" t="s">
        <v>79</v>
      </c>
    </row>
    <row r="13" spans="1:9" s="10" customFormat="1" ht="114.75">
      <c r="A13" s="11">
        <v>43388</v>
      </c>
      <c r="B13" s="14" t="str">
        <f>HYPERLINK("https://www.clarkart.edu/","Clark Art Institute")</f>
        <v>Clark Art Institute</v>
      </c>
      <c r="C13" s="3" t="s">
        <v>8</v>
      </c>
      <c r="D13" s="3" t="s">
        <v>126</v>
      </c>
      <c r="E13" s="5" t="s">
        <v>33</v>
      </c>
      <c r="F13" s="6" t="s">
        <v>12</v>
      </c>
      <c r="G13" s="6"/>
      <c r="H13" s="7" t="s">
        <v>17</v>
      </c>
      <c r="I13" s="12" t="s">
        <v>127</v>
      </c>
    </row>
    <row r="14" spans="1:9" s="10" customFormat="1" ht="242.25">
      <c r="A14" s="1">
        <v>43388</v>
      </c>
      <c r="B14" s="14" t="str">
        <f>HYPERLINK("https://www.nga.gov/index.html","National Gallery of Art")</f>
        <v>National Gallery of Art</v>
      </c>
      <c r="C14" s="29" t="s">
        <v>29</v>
      </c>
      <c r="D14" s="30" t="s">
        <v>128</v>
      </c>
      <c r="E14" s="5" t="s">
        <v>33</v>
      </c>
      <c r="F14" s="6" t="s">
        <v>12</v>
      </c>
      <c r="G14" s="6" t="s">
        <v>129</v>
      </c>
      <c r="H14" s="6" t="s">
        <v>130</v>
      </c>
      <c r="I14" s="12" t="s">
        <v>131</v>
      </c>
    </row>
    <row r="15" spans="1:9" s="10" customFormat="1" ht="229.5">
      <c r="A15" s="1">
        <v>43404</v>
      </c>
      <c r="B15" s="14" t="str">
        <f>HYPERLINK("http://www.ascsa.edu.gr/","American School of Classical Studies at Athens")</f>
        <v>American School of Classical Studies at Athens</v>
      </c>
      <c r="C15" s="3" t="s">
        <v>8</v>
      </c>
      <c r="D15" s="14" t="str">
        <f>HYPERLINK("http://www.ascsa.edu.gr/index.php/admission-membership/post-doctoral-and-senior-scholars","National Endowment for the Humanities Fellowships")</f>
        <v>National Endowment for the Humanities Fellowships</v>
      </c>
      <c r="E15" s="5" t="s">
        <v>33</v>
      </c>
      <c r="F15" s="6" t="s">
        <v>12</v>
      </c>
      <c r="G15" s="5"/>
      <c r="H15" s="6" t="s">
        <v>162</v>
      </c>
      <c r="I15" s="12" t="s">
        <v>163</v>
      </c>
    </row>
    <row r="16" spans="1:9" s="10" customFormat="1" ht="178.5">
      <c r="A16" s="11">
        <v>43406</v>
      </c>
      <c r="B16" s="14" t="str">
        <f>HYPERLINK("http://fitchfoundation.org/","Fitch Foundation")</f>
        <v>Fitch Foundation</v>
      </c>
      <c r="C16" s="3" t="s">
        <v>15</v>
      </c>
      <c r="D16" s="16" t="str">
        <f>HYPERLINK("http://fitchfoundation.org/grants/kress/","Samuel H. Kress Fellowship")</f>
        <v>Samuel H. Kress Fellowship</v>
      </c>
      <c r="E16" s="5" t="s">
        <v>33</v>
      </c>
      <c r="F16" s="5" t="s">
        <v>25</v>
      </c>
      <c r="G16" s="6" t="s">
        <v>209</v>
      </c>
      <c r="H16" s="6" t="s">
        <v>210</v>
      </c>
      <c r="I16" s="12" t="s">
        <v>571</v>
      </c>
    </row>
    <row r="17" spans="1:9" s="10" customFormat="1" ht="165.75">
      <c r="A17" s="11">
        <v>43492</v>
      </c>
      <c r="B17" s="2" t="str">
        <f>HYPERLINK("http://www.italianmodernart.org/","Center for Italian Modern Art")</f>
        <v>Center for Italian Modern Art</v>
      </c>
      <c r="C17" s="3" t="s">
        <v>29</v>
      </c>
      <c r="D17" s="2" t="str">
        <f>HYPERLINK("http://www.italianmodernart.org/fellowship-program/","Fellowship Program")</f>
        <v>Fellowship Program</v>
      </c>
      <c r="E17" s="5" t="s">
        <v>33</v>
      </c>
      <c r="F17" s="5" t="s">
        <v>25</v>
      </c>
      <c r="G17" s="6"/>
      <c r="H17" s="7"/>
      <c r="I17" s="12" t="s">
        <v>572</v>
      </c>
    </row>
    <row r="18" spans="1:9" s="10" customFormat="1" ht="76.5">
      <c r="A18" s="1">
        <v>43556</v>
      </c>
      <c r="B18" s="4" t="str">
        <f>HYPERLINK("http://www.kressfoundation.org","Kress Foundation")</f>
        <v>Kress Foundation</v>
      </c>
      <c r="C18" s="3" t="s">
        <v>15</v>
      </c>
      <c r="D18" s="4" t="str">
        <f>HYPERLINK("http://www.kressfoundation.org/fellowships/interpretive/","Interpretive Fellowships at Art Museums")</f>
        <v>Interpretive Fellowships at Art Museums</v>
      </c>
      <c r="E18" s="5" t="s">
        <v>33</v>
      </c>
      <c r="F18" s="6" t="s">
        <v>12</v>
      </c>
      <c r="G18" s="6" t="s">
        <v>71</v>
      </c>
      <c r="H18" s="7">
        <v>30000</v>
      </c>
      <c r="I18" s="12" t="s">
        <v>381</v>
      </c>
    </row>
    <row r="19" spans="1:9" s="10" customFormat="1" ht="191.25">
      <c r="A19" s="1">
        <v>43729</v>
      </c>
      <c r="B19" s="4" t="str">
        <f>HYPERLINK("nga.gov","National Gallery of Art")</f>
        <v>National Gallery of Art</v>
      </c>
      <c r="C19" s="29" t="s">
        <v>29</v>
      </c>
      <c r="D19" s="41" t="s">
        <v>458</v>
      </c>
      <c r="E19" s="5" t="s">
        <v>33</v>
      </c>
      <c r="F19" s="6" t="s">
        <v>12</v>
      </c>
      <c r="G19" s="6" t="s">
        <v>129</v>
      </c>
      <c r="H19" s="6" t="s">
        <v>459</v>
      </c>
      <c r="I19" s="12" t="s">
        <v>460</v>
      </c>
    </row>
    <row r="20" spans="1:9" s="10" customFormat="1" ht="191.25">
      <c r="A20" s="1">
        <v>43738</v>
      </c>
      <c r="B20" s="4" t="str">
        <f>HYPERLINK("http://www.sah.org/","Society of Architectural Historians")</f>
        <v>Society of Architectural Historians</v>
      </c>
      <c r="C20" s="3" t="s">
        <v>15</v>
      </c>
      <c r="D20" s="13" t="s">
        <v>464</v>
      </c>
      <c r="E20" s="5" t="s">
        <v>33</v>
      </c>
      <c r="F20" s="6" t="s">
        <v>39</v>
      </c>
      <c r="G20" s="6" t="s">
        <v>71</v>
      </c>
      <c r="H20" s="6"/>
      <c r="I20" s="12" t="s">
        <v>465</v>
      </c>
    </row>
    <row r="21" spans="1:9" s="10" customFormat="1" ht="178.5">
      <c r="A21" s="1">
        <v>43405</v>
      </c>
      <c r="B21" s="14" t="str">
        <f>HYPERLINK("https://lclf.harvard.edu/","Loeb Classical Library - Harvard University")</f>
        <v>Loeb Classical Library - Harvard University</v>
      </c>
      <c r="C21" s="3" t="s">
        <v>8</v>
      </c>
      <c r="D21" s="17" t="s">
        <v>172</v>
      </c>
      <c r="E21" s="5" t="s">
        <v>173</v>
      </c>
      <c r="F21" s="5" t="s">
        <v>25</v>
      </c>
      <c r="G21" s="18" t="s">
        <v>174</v>
      </c>
      <c r="H21" s="6" t="s">
        <v>175</v>
      </c>
      <c r="I21" s="12" t="s">
        <v>600</v>
      </c>
    </row>
    <row r="22" spans="1:9" s="10" customFormat="1" ht="140.25">
      <c r="A22" s="11">
        <v>43420</v>
      </c>
      <c r="B22" s="2" t="str">
        <f>HYPERLINK("https://classicalstudies.org/","Society for Classical Studies")</f>
        <v>Society for Classical Studies</v>
      </c>
      <c r="C22" s="3" t="s">
        <v>15</v>
      </c>
      <c r="D22" s="2" t="str">
        <f>HYPERLINK("https://classicalstudies.org/awards-and-fellowships/thesaurus-linguae-latinae-tll-fellowship","Thesaurus Linguae Latinae Fellowship")</f>
        <v>Thesaurus Linguae Latinae Fellowship</v>
      </c>
      <c r="E22" s="5" t="s">
        <v>173</v>
      </c>
      <c r="F22" s="5" t="s">
        <v>25</v>
      </c>
      <c r="G22" s="6"/>
      <c r="H22" s="7">
        <v>50400</v>
      </c>
      <c r="I22" s="12" t="s">
        <v>573</v>
      </c>
    </row>
    <row r="23" spans="1:9" s="10" customFormat="1" ht="140.25">
      <c r="A23" s="11">
        <v>43496</v>
      </c>
      <c r="B23" s="2" t="str">
        <f>HYPERLINK("https://www.sas.ac.uk/","University of London, School of Advanced Study")</f>
        <v>University of London, School of Advanced Study</v>
      </c>
      <c r="C23" s="3" t="s">
        <v>8</v>
      </c>
      <c r="D23" s="4" t="str">
        <f>HYPERLINK("https://ics.sas.ac.uk/awards/fellowships","Institute of Classical Studies Fellowships")</f>
        <v>Institute of Classical Studies Fellowships</v>
      </c>
      <c r="E23" s="5" t="s">
        <v>173</v>
      </c>
      <c r="F23" s="5" t="s">
        <v>25</v>
      </c>
      <c r="G23" s="6"/>
      <c r="H23" s="7" t="s">
        <v>322</v>
      </c>
      <c r="I23" s="8" t="s">
        <v>574</v>
      </c>
    </row>
    <row r="24" spans="1:9" s="10" customFormat="1" ht="127.5">
      <c r="A24" s="1">
        <v>43311</v>
      </c>
      <c r="B24" s="14" t="str">
        <f>HYPERLINK("nea.gov","National Endowment for the Arts")</f>
        <v>National Endowment for the Arts</v>
      </c>
      <c r="C24" s="3" t="s">
        <v>19</v>
      </c>
      <c r="D24" s="15" t="str">
        <f>HYPERLINK("https://www.arts.gov/lifetime-honors/nea-national-heritage-fellowships/make-nomination","National Heritage Fellows")</f>
        <v>National Heritage Fellows</v>
      </c>
      <c r="E24" s="5" t="s">
        <v>54</v>
      </c>
      <c r="F24" s="5" t="s">
        <v>25</v>
      </c>
      <c r="G24" s="6" t="s">
        <v>56</v>
      </c>
      <c r="H24" s="7">
        <v>25000</v>
      </c>
      <c r="I24" s="12" t="s">
        <v>601</v>
      </c>
    </row>
    <row r="25" spans="1:9" s="10" customFormat="1" ht="191.25">
      <c r="A25" s="1">
        <v>43374</v>
      </c>
      <c r="B25" s="28" t="str">
        <f>HYPERLINK("http://www.harpofoundation.org","Harpo Foundation")</f>
        <v>Harpo Foundation</v>
      </c>
      <c r="C25" s="3" t="s">
        <v>15</v>
      </c>
      <c r="D25" s="14" t="str">
        <f>HYPERLINK("http://www.harpofoundation.org/apply/emerging-artist-fellowship/","Emerging Artists Residency Fellowship at the Santa Fe Art Institute")</f>
        <v>Emerging Artists Residency Fellowship at the Santa Fe Art Institute</v>
      </c>
      <c r="E25" s="5" t="s">
        <v>54</v>
      </c>
      <c r="F25" s="6" t="s">
        <v>12</v>
      </c>
      <c r="G25" s="6" t="s">
        <v>71</v>
      </c>
      <c r="H25" s="6" t="s">
        <v>105</v>
      </c>
      <c r="I25" s="12" t="s">
        <v>106</v>
      </c>
    </row>
    <row r="26" spans="1:9" s="10" customFormat="1" ht="140.25">
      <c r="A26" s="1">
        <v>43385</v>
      </c>
      <c r="B26" s="16" t="str">
        <f>HYPERLINK("https://www.americanantiquarian.org/","American Antiquarian Society")</f>
        <v>American Antiquarian Society</v>
      </c>
      <c r="C26" s="3" t="s">
        <v>15</v>
      </c>
      <c r="D26" s="17" t="str">
        <f>HYPERLINK("https://www.americanantiquarian.org/artistfellowships","Fellowships for Creative and Performing Artists and Writers")</f>
        <v>Fellowships for Creative and Performing Artists and Writers</v>
      </c>
      <c r="E26" s="5" t="s">
        <v>54</v>
      </c>
      <c r="F26" s="5" t="s">
        <v>25</v>
      </c>
      <c r="G26" s="9"/>
      <c r="H26" s="6">
        <v>1850</v>
      </c>
      <c r="I26" s="12" t="s">
        <v>602</v>
      </c>
    </row>
    <row r="27" spans="1:9" s="10" customFormat="1" ht="114.75">
      <c r="A27" s="1">
        <v>43405</v>
      </c>
      <c r="B27" s="14" t="str">
        <f>HYPERLINK("https://www.folger.edu/","Folger Shakespeare Library")</f>
        <v>Folger Shakespeare Library</v>
      </c>
      <c r="C27" s="3" t="s">
        <v>29</v>
      </c>
      <c r="D27" s="14" t="str">
        <f>HYPERLINK("https://www.folger.edu/about-fellowships","Long Term Fellowship")</f>
        <v>Long Term Fellowship</v>
      </c>
      <c r="E27" s="5" t="s">
        <v>54</v>
      </c>
      <c r="F27" s="6" t="s">
        <v>12</v>
      </c>
      <c r="G27" s="5"/>
      <c r="H27" s="6" t="s">
        <v>186</v>
      </c>
      <c r="I27" s="19" t="s">
        <v>187</v>
      </c>
    </row>
    <row r="28" spans="1:9" s="10" customFormat="1" ht="204">
      <c r="A28" s="11">
        <v>43420</v>
      </c>
      <c r="B28" s="2" t="str">
        <f>HYPERLINK("http://www.abladeofgrass.org/","A Blade of Grass")</f>
        <v>A Blade of Grass</v>
      </c>
      <c r="C28" s="3" t="s">
        <v>15</v>
      </c>
      <c r="D28" s="2" t="str">
        <f>HYPERLINK("http://www.abladeofgrass.org/fellowship-program/#how-to-apply","Fellowship Program")</f>
        <v>Fellowship Program</v>
      </c>
      <c r="E28" s="5" t="s">
        <v>54</v>
      </c>
      <c r="F28" s="5" t="s">
        <v>25</v>
      </c>
      <c r="G28" s="6"/>
      <c r="H28" s="7">
        <v>20000</v>
      </c>
      <c r="I28" s="12" t="s">
        <v>575</v>
      </c>
    </row>
    <row r="29" spans="1:9" s="10" customFormat="1" ht="229.5">
      <c r="A29" s="1">
        <v>43479</v>
      </c>
      <c r="B29" s="4" t="str">
        <f>HYPERLINK("http://hcl.harvard.edu/","Harvard University")</f>
        <v>Harvard University</v>
      </c>
      <c r="C29" s="3" t="s">
        <v>8</v>
      </c>
      <c r="D29" s="20" t="str">
        <f>HYPERLINK("https://library.harvard.edu/about/grants-fellowships/woodberry-poetry-room-fellowship","Woodberry Poetry Room Creative Fellowship")</f>
        <v>Woodberry Poetry Room Creative Fellowship</v>
      </c>
      <c r="E29" s="5" t="s">
        <v>54</v>
      </c>
      <c r="F29" s="6" t="s">
        <v>12</v>
      </c>
      <c r="G29" s="6"/>
      <c r="H29" s="7">
        <v>4000</v>
      </c>
      <c r="I29" s="12" t="s">
        <v>279</v>
      </c>
    </row>
    <row r="30" spans="1:9" s="10" customFormat="1" ht="165.75">
      <c r="A30" s="1">
        <v>43480</v>
      </c>
      <c r="B30" s="4" t="str">
        <f>HYPERLINK("http://www.winterthur.org/","Winterthur ")</f>
        <v xml:space="preserve">Winterthur </v>
      </c>
      <c r="C30" s="3" t="s">
        <v>15</v>
      </c>
      <c r="D30" s="20" t="str">
        <f>HYPERLINK("http://www.winterthur.org/?p=1311","Maker-Creator Fellowship")</f>
        <v>Maker-Creator Fellowship</v>
      </c>
      <c r="E30" s="5" t="s">
        <v>54</v>
      </c>
      <c r="F30" s="6" t="s">
        <v>12</v>
      </c>
      <c r="G30" s="6"/>
      <c r="H30" s="6" t="s">
        <v>288</v>
      </c>
      <c r="I30" s="12" t="s">
        <v>290</v>
      </c>
    </row>
    <row r="31" spans="1:9" s="10" customFormat="1" ht="127.5">
      <c r="A31" s="1">
        <v>43488</v>
      </c>
      <c r="B31" s="4" t="str">
        <f>HYPERLINK("https://www.nyfa.org/","New York Foundation for the Arts")</f>
        <v>New York Foundation for the Arts</v>
      </c>
      <c r="C31" s="3" t="s">
        <v>19</v>
      </c>
      <c r="D31" s="13" t="s">
        <v>305</v>
      </c>
      <c r="E31" s="5" t="s">
        <v>54</v>
      </c>
      <c r="F31" s="5" t="s">
        <v>25</v>
      </c>
      <c r="G31" s="18"/>
      <c r="H31" s="7">
        <v>7000</v>
      </c>
      <c r="I31" s="12" t="s">
        <v>576</v>
      </c>
    </row>
    <row r="32" spans="1:9" s="10" customFormat="1" ht="127.5">
      <c r="A32" s="1">
        <v>43497</v>
      </c>
      <c r="B32" s="4" t="str">
        <f>HYPERLINK("http://web.fawc.org/","Fine Arts Work Center")</f>
        <v>Fine Arts Work Center</v>
      </c>
      <c r="C32" s="3" t="s">
        <v>15</v>
      </c>
      <c r="D32" s="4" t="str">
        <f>HYPERLINK("http://web.fawc.org/program","Fellowships")</f>
        <v>Fellowships</v>
      </c>
      <c r="E32" s="5" t="s">
        <v>54</v>
      </c>
      <c r="F32" s="6" t="s">
        <v>12</v>
      </c>
      <c r="G32" s="6"/>
      <c r="H32" s="6" t="s">
        <v>331</v>
      </c>
      <c r="I32" s="12" t="s">
        <v>332</v>
      </c>
    </row>
    <row r="33" spans="1:9" s="10" customFormat="1" ht="127.5">
      <c r="A33" s="1">
        <v>43497</v>
      </c>
      <c r="B33" s="4" t="str">
        <f>HYPERLINK("https://www.jusfc.gov/","Japan-U.S. Friendship Commission")</f>
        <v>Japan-U.S. Friendship Commission</v>
      </c>
      <c r="C33" s="3" t="s">
        <v>15</v>
      </c>
      <c r="D33" s="4" t="str">
        <f>HYPERLINK("http://www.jusfc.gov/creative-artists-programs/","US-Japan Creative Artists Fellowships")</f>
        <v>US-Japan Creative Artists Fellowships</v>
      </c>
      <c r="E33" s="5" t="s">
        <v>54</v>
      </c>
      <c r="F33" s="6" t="s">
        <v>39</v>
      </c>
      <c r="G33" s="5"/>
      <c r="H33" s="6"/>
      <c r="I33" s="12" t="s">
        <v>340</v>
      </c>
    </row>
    <row r="34" spans="1:9" s="10" customFormat="1" ht="76.5">
      <c r="A34" s="1">
        <v>43525</v>
      </c>
      <c r="B34" s="4" t="str">
        <f>HYPERLINK("http://www.ucrossfoundation.org","UCross Foundation")</f>
        <v>UCross Foundation</v>
      </c>
      <c r="C34" s="3" t="s">
        <v>15</v>
      </c>
      <c r="D34" s="13" t="s">
        <v>358</v>
      </c>
      <c r="E34" s="5" t="s">
        <v>54</v>
      </c>
      <c r="F34" s="6" t="s">
        <v>12</v>
      </c>
      <c r="G34" s="6"/>
      <c r="H34" s="6"/>
      <c r="I34" s="12" t="s">
        <v>359</v>
      </c>
    </row>
    <row r="35" spans="1:9" s="10" customFormat="1" ht="191.25">
      <c r="A35" s="1">
        <v>43631</v>
      </c>
      <c r="B35" s="20" t="str">
        <f>HYPERLINK("https://vermontstudiocenter.org","Vermont Studio Center")</f>
        <v>Vermont Studio Center</v>
      </c>
      <c r="C35" s="3" t="s">
        <v>15</v>
      </c>
      <c r="D35" s="4" t="str">
        <f>HYPERLINK("https://vermontstudiocenter.org/residencies/","Fellowships")</f>
        <v>Fellowships</v>
      </c>
      <c r="E35" s="5" t="s">
        <v>54</v>
      </c>
      <c r="F35" s="6" t="s">
        <v>12</v>
      </c>
      <c r="G35" s="11"/>
      <c r="H35" s="6"/>
      <c r="I35" s="12" t="s">
        <v>427</v>
      </c>
    </row>
    <row r="36" spans="1:9" s="10" customFormat="1" ht="76.5">
      <c r="A36" s="1">
        <v>43723</v>
      </c>
      <c r="B36" s="4" t="str">
        <f>HYPERLINK("http://www.macdowellcolony.org/","MacDowell Colony")</f>
        <v>MacDowell Colony</v>
      </c>
      <c r="C36" s="3" t="s">
        <v>15</v>
      </c>
      <c r="D36" s="4" t="str">
        <f>HYPERLINK("http://www.macdowellcolony.org/apply","Residencies")</f>
        <v>Residencies</v>
      </c>
      <c r="E36" s="5" t="s">
        <v>54</v>
      </c>
      <c r="F36" s="6" t="s">
        <v>12</v>
      </c>
      <c r="G36" s="6"/>
      <c r="H36" s="6"/>
      <c r="I36" s="12" t="s">
        <v>453</v>
      </c>
    </row>
    <row r="37" spans="1:9" s="10" customFormat="1" ht="140.25">
      <c r="A37" s="1">
        <v>43845</v>
      </c>
      <c r="B37" s="4" t="str">
        <f>HYPERLINK("http://www.bfny.org/","Bogliasco Foundation")</f>
        <v>Bogliasco Foundation</v>
      </c>
      <c r="C37" s="3" t="s">
        <v>15</v>
      </c>
      <c r="D37" s="13" t="s">
        <v>503</v>
      </c>
      <c r="E37" s="5" t="s">
        <v>54</v>
      </c>
      <c r="F37" s="6" t="s">
        <v>12</v>
      </c>
      <c r="G37" s="5"/>
      <c r="H37" s="6" t="s">
        <v>504</v>
      </c>
      <c r="I37" s="12" t="s">
        <v>505</v>
      </c>
    </row>
    <row r="38" spans="1:9" s="10" customFormat="1" ht="140.25">
      <c r="A38" s="1">
        <v>43393</v>
      </c>
      <c r="B38" s="4" t="str">
        <f>HYPERLINK("http://artomi.org/","Art Omi")</f>
        <v>Art Omi</v>
      </c>
      <c r="C38" s="3" t="s">
        <v>15</v>
      </c>
      <c r="D38" s="4" t="str">
        <f>HYPERLINK("http://artomi.org/residencies/architecture","Art Omi: Architecture Residency")</f>
        <v>Art Omi: Architecture Residency</v>
      </c>
      <c r="E38" s="5" t="s">
        <v>150</v>
      </c>
      <c r="F38" s="6" t="s">
        <v>12</v>
      </c>
      <c r="G38" s="18" t="s">
        <v>151</v>
      </c>
      <c r="H38" s="6" t="s">
        <v>134</v>
      </c>
      <c r="I38" s="12" t="s">
        <v>152</v>
      </c>
    </row>
    <row r="39" spans="1:9" s="10" customFormat="1" ht="127.5">
      <c r="A39" s="1">
        <v>43467</v>
      </c>
      <c r="B39" s="4" t="str">
        <f>HYPERLINK("http://artomi.org/","Art Omi")</f>
        <v>Art Omi</v>
      </c>
      <c r="C39" s="3" t="s">
        <v>15</v>
      </c>
      <c r="D39" s="4" t="str">
        <f>HYPERLINK("http://45.55.141.4/residencies/art-omi-dance","Art Omi: Dance Residency")</f>
        <v>Art Omi: Dance Residency</v>
      </c>
      <c r="E39" s="5" t="s">
        <v>254</v>
      </c>
      <c r="F39" s="6" t="s">
        <v>12</v>
      </c>
      <c r="G39" s="18"/>
      <c r="H39" s="6" t="s">
        <v>134</v>
      </c>
      <c r="I39" s="12" t="s">
        <v>255</v>
      </c>
    </row>
    <row r="40" spans="1:9" s="10" customFormat="1" ht="114.75">
      <c r="A40" s="1">
        <v>43525</v>
      </c>
      <c r="B40" s="4" t="str">
        <f>HYPERLINK("https://www.folger.edu/","Folger Shakespeare Library")</f>
        <v>Folger Shakespeare Library</v>
      </c>
      <c r="C40" s="3" t="s">
        <v>29</v>
      </c>
      <c r="D40" s="4" t="str">
        <f>HYPERLINK("https://www.folger.edu/about-fellowships","Short Term Fellowship")</f>
        <v>Short Term Fellowship</v>
      </c>
      <c r="E40" s="5" t="s">
        <v>360</v>
      </c>
      <c r="F40" s="6" t="s">
        <v>12</v>
      </c>
      <c r="G40" s="5"/>
      <c r="H40" s="6" t="s">
        <v>361</v>
      </c>
      <c r="I40" s="12" t="s">
        <v>187</v>
      </c>
    </row>
    <row r="41" spans="1:9" s="10" customFormat="1" ht="140.25">
      <c r="A41" s="1">
        <v>43388</v>
      </c>
      <c r="B41" s="4" t="str">
        <f>HYPERLINK("http://artomi.org/","Art Omi")</f>
        <v>Art Omi</v>
      </c>
      <c r="C41" s="3" t="s">
        <v>15</v>
      </c>
      <c r="D41" s="4" t="str">
        <f>HYPERLINK("http://artomi.org/residencies/art","Art Omi: Artists Residency")</f>
        <v>Art Omi: Artists Residency</v>
      </c>
      <c r="E41" s="5" t="s">
        <v>132</v>
      </c>
      <c r="F41" s="6" t="s">
        <v>12</v>
      </c>
      <c r="G41" s="18" t="s">
        <v>133</v>
      </c>
      <c r="H41" s="6" t="s">
        <v>134</v>
      </c>
      <c r="I41" s="12" t="s">
        <v>135</v>
      </c>
    </row>
    <row r="42" spans="1:9" s="10" customFormat="1" ht="191.25">
      <c r="A42" s="5" t="s">
        <v>544</v>
      </c>
      <c r="B42" s="4" t="str">
        <f>HYPERLINK("https://clags.org","CLAGS")</f>
        <v>CLAGS</v>
      </c>
      <c r="C42" s="3" t="s">
        <v>15</v>
      </c>
      <c r="D42" s="13" t="s">
        <v>545</v>
      </c>
      <c r="E42" s="5" t="s">
        <v>546</v>
      </c>
      <c r="F42" s="5" t="s">
        <v>25</v>
      </c>
      <c r="G42" s="6"/>
      <c r="H42" s="7">
        <v>7500</v>
      </c>
      <c r="I42" s="12" t="s">
        <v>547</v>
      </c>
    </row>
    <row r="43" spans="1:9" s="10" customFormat="1" ht="140.25">
      <c r="A43" s="1">
        <v>43388</v>
      </c>
      <c r="B43" s="4" t="str">
        <f>HYPERLINK("http://artomi.org/","Art Omi")</f>
        <v>Art Omi</v>
      </c>
      <c r="C43" s="3" t="s">
        <v>15</v>
      </c>
      <c r="D43" s="4" t="str">
        <f>HYPERLINK("http://artomi.org/residencies/writers","Art Omi: Writers Residency")</f>
        <v>Art Omi: Writers Residency</v>
      </c>
      <c r="E43" s="5" t="s">
        <v>136</v>
      </c>
      <c r="F43" s="6" t="s">
        <v>12</v>
      </c>
      <c r="G43" s="18"/>
      <c r="H43" s="6" t="s">
        <v>134</v>
      </c>
      <c r="I43" s="12" t="s">
        <v>137</v>
      </c>
    </row>
    <row r="44" spans="1:9" s="10" customFormat="1" ht="63.75">
      <c r="A44" s="1">
        <v>43467</v>
      </c>
      <c r="B44" s="4" t="str">
        <f>HYPERLINK("http://www.sjsu.edu/steinbeck/","San José State University")</f>
        <v>San José State University</v>
      </c>
      <c r="C44" s="3" t="s">
        <v>8</v>
      </c>
      <c r="D44" s="4" t="str">
        <f>HYPERLINK("http://www.sjsu.edu/steinbeck/fellows/","Steinbeck Fellowships in Creative Writing")</f>
        <v>Steinbeck Fellowships in Creative Writing</v>
      </c>
      <c r="E44" s="5" t="s">
        <v>136</v>
      </c>
      <c r="F44" s="5" t="s">
        <v>25</v>
      </c>
      <c r="G44" s="6"/>
      <c r="H44" s="25">
        <v>15000</v>
      </c>
      <c r="I44" s="12" t="s">
        <v>263</v>
      </c>
    </row>
    <row r="45" spans="1:9" s="10" customFormat="1" ht="127.5">
      <c r="A45" s="11">
        <v>43472</v>
      </c>
      <c r="B45" s="4" t="str">
        <f>HYPERLINK("https://llcb.ws.gc.cuny.edu/","Leon Levy Center for Biography at The Graduate Center, CUNY")</f>
        <v>Leon Levy Center for Biography at The Graduate Center, CUNY</v>
      </c>
      <c r="C45" s="3" t="s">
        <v>8</v>
      </c>
      <c r="D45" s="13" t="str">
        <f>HYPERLINK("http://llcb.ws.gc.cuny.edu/fellowships/biography-fellowships/","Biography Fellowships")</f>
        <v>Biography Fellowships</v>
      </c>
      <c r="E45" s="5" t="s">
        <v>136</v>
      </c>
      <c r="F45" s="5" t="s">
        <v>25</v>
      </c>
      <c r="G45" s="6"/>
      <c r="H45" s="6">
        <v>72000</v>
      </c>
      <c r="I45" s="12" t="s">
        <v>577</v>
      </c>
    </row>
    <row r="46" spans="1:9" s="10" customFormat="1" ht="102">
      <c r="A46" s="1">
        <v>43530</v>
      </c>
      <c r="B46" s="4" t="str">
        <f>HYPERLINK("https://www.arts.gov/","National Endowment for the Arts")</f>
        <v>National Endowment for the Arts</v>
      </c>
      <c r="C46" s="3" t="s">
        <v>19</v>
      </c>
      <c r="D46" s="4" t="str">
        <f>HYPERLINK("https://www.arts.gov/grants-individuals/creative-writing-fellowships","Creative Writing Fellowships")</f>
        <v>Creative Writing Fellowships</v>
      </c>
      <c r="E46" s="5" t="s">
        <v>136</v>
      </c>
      <c r="F46" s="5" t="s">
        <v>25</v>
      </c>
      <c r="G46" s="6"/>
      <c r="H46" s="7">
        <v>25000</v>
      </c>
      <c r="I46" s="12" t="s">
        <v>367</v>
      </c>
    </row>
    <row r="47" spans="1:9" s="10" customFormat="1" ht="165.75">
      <c r="A47" s="1">
        <v>43563</v>
      </c>
      <c r="B47" s="4" t="str">
        <f>HYPERLINK("https://www.oxfordamerican.org/","Oxford American")</f>
        <v>Oxford American</v>
      </c>
      <c r="C47" s="3" t="s">
        <v>15</v>
      </c>
      <c r="D47" s="13" t="str">
        <f>HYPERLINK("https://www.oxfordamerican.org/about/fellowship","Oxford American Jeff Baskin Writers Fellow")</f>
        <v>Oxford American Jeff Baskin Writers Fellow</v>
      </c>
      <c r="E47" s="5" t="s">
        <v>136</v>
      </c>
      <c r="F47" s="5" t="s">
        <v>25</v>
      </c>
      <c r="G47" s="11"/>
      <c r="H47" s="11" t="s">
        <v>391</v>
      </c>
      <c r="I47" s="21" t="s">
        <v>392</v>
      </c>
    </row>
    <row r="48" spans="1:9" s="10" customFormat="1" ht="165.75">
      <c r="A48" s="1">
        <v>43617</v>
      </c>
      <c r="B48" s="4" t="str">
        <f>HYPERLINK("http://www.hedgebrook.org/","Hedgebrook")</f>
        <v>Hedgebrook</v>
      </c>
      <c r="C48" s="3" t="s">
        <v>15</v>
      </c>
      <c r="D48" s="4" t="str">
        <f>HYPERLINK("http://www.hedgebrook.org/writers-in-residence/","Writers in Residence")</f>
        <v>Writers in Residence</v>
      </c>
      <c r="E48" s="5" t="s">
        <v>136</v>
      </c>
      <c r="F48" s="6" t="s">
        <v>12</v>
      </c>
      <c r="G48" s="6"/>
      <c r="H48" s="6" t="s">
        <v>424</v>
      </c>
      <c r="I48" s="12" t="s">
        <v>425</v>
      </c>
    </row>
    <row r="49" spans="1:9" s="10" customFormat="1" ht="165.75">
      <c r="A49" s="1">
        <v>43631</v>
      </c>
      <c r="B49" s="4" t="str">
        <f>HYPERLINK("https://careyinstitute.org/","Carey Institute for Global Good")</f>
        <v>Carey Institute for Global Good</v>
      </c>
      <c r="C49" s="3" t="s">
        <v>15</v>
      </c>
      <c r="D49" s="4" t="str">
        <f>HYPERLINK("https://careyinstitute.org/programs/nonfiction/nonfiction-fellowship/","Logan Nonfiction Fellowship")</f>
        <v>Logan Nonfiction Fellowship</v>
      </c>
      <c r="E49" s="5" t="s">
        <v>136</v>
      </c>
      <c r="F49" s="5" t="s">
        <v>25</v>
      </c>
      <c r="G49" s="18"/>
      <c r="H49" s="6"/>
      <c r="I49" s="12" t="s">
        <v>428</v>
      </c>
    </row>
    <row r="50" spans="1:9" s="10" customFormat="1" ht="127.5">
      <c r="A50" s="1">
        <v>43234</v>
      </c>
      <c r="B50" s="4" t="str">
        <f>HYPERLINK("https://www.nypl.org/","New York Public Library")</f>
        <v>New York Public Library</v>
      </c>
      <c r="C50" s="3" t="s">
        <v>29</v>
      </c>
      <c r="D50" s="4" t="str">
        <f>HYPERLINK("https://www.nypl.org/dance-fellowship","Dance Research Fellowships")</f>
        <v>Dance Research Fellowships</v>
      </c>
      <c r="E50" s="5" t="s">
        <v>30</v>
      </c>
      <c r="F50" s="6" t="s">
        <v>12</v>
      </c>
      <c r="G50" s="6"/>
      <c r="H50" s="7">
        <v>7500</v>
      </c>
      <c r="I50" s="12" t="s">
        <v>31</v>
      </c>
    </row>
    <row r="51" spans="1:9" s="10" customFormat="1" ht="178.5">
      <c r="A51" s="11">
        <v>43891</v>
      </c>
      <c r="B51" s="2" t="str">
        <f>HYPERLINK("https://www.sas.ac.uk/","University of London, School of Advanced Study")</f>
        <v>University of London, School of Advanced Study</v>
      </c>
      <c r="C51" s="3" t="s">
        <v>8</v>
      </c>
      <c r="D51" s="4" t="str">
        <f>HYPERLINK("https://www.ies.sas.ac.uk/fellowships","Institute of English Studies Fellowships")</f>
        <v>Institute of English Studies Fellowships</v>
      </c>
      <c r="E51" s="5" t="s">
        <v>509</v>
      </c>
      <c r="F51" s="5" t="s">
        <v>25</v>
      </c>
      <c r="G51" s="6"/>
      <c r="H51" s="7" t="s">
        <v>321</v>
      </c>
      <c r="I51" s="8" t="s">
        <v>510</v>
      </c>
    </row>
    <row r="52" spans="1:9" s="10" customFormat="1" ht="51">
      <c r="A52" s="11">
        <v>43221</v>
      </c>
      <c r="B52" s="2" t="str">
        <f>HYPERLINK("https://www.sas.ac.uk/","Univeristy of London, School of Advanced Study")</f>
        <v>Univeristy of London, School of Advanced Study</v>
      </c>
      <c r="C52" s="3" t="s">
        <v>8</v>
      </c>
      <c r="D52" s="4" t="str">
        <f>HYPERLINK("https://www.history.ac.uk/fellowships/senior","Institute of Historical Research Fellowships")</f>
        <v>Institute of Historical Research Fellowships</v>
      </c>
      <c r="E52" s="5" t="s">
        <v>21</v>
      </c>
      <c r="F52" s="5" t="s">
        <v>25</v>
      </c>
      <c r="G52" s="6"/>
      <c r="H52" s="7" t="s">
        <v>22</v>
      </c>
      <c r="I52" s="8" t="s">
        <v>23</v>
      </c>
    </row>
    <row r="53" spans="1:9" s="10" customFormat="1" ht="204">
      <c r="A53" s="11">
        <v>43385</v>
      </c>
      <c r="B53" s="14" t="str">
        <f>HYPERLINK("https://www.sas.ac.uk/","Univeristy of London, School of Advanced Study")</f>
        <v>Univeristy of London, School of Advanced Study</v>
      </c>
      <c r="C53" s="3" t="s">
        <v>8</v>
      </c>
      <c r="D53" s="14" t="str">
        <f>HYPERLINK("https://www.sas.ac.uk/support-research/fellowships/instituteconsortium-fellowships#warburg","Warburg Institute Funded Fellowships")</f>
        <v>Warburg Institute Funded Fellowships</v>
      </c>
      <c r="E53" s="5" t="s">
        <v>21</v>
      </c>
      <c r="F53" s="5" t="s">
        <v>25</v>
      </c>
      <c r="G53" s="6"/>
      <c r="H53" s="7" t="s">
        <v>123</v>
      </c>
      <c r="I53" s="8" t="s">
        <v>603</v>
      </c>
    </row>
    <row r="54" spans="1:9" s="10" customFormat="1" ht="165.75">
      <c r="A54" s="54">
        <v>43388</v>
      </c>
      <c r="B54" s="60" t="str">
        <f>HYPERLINK("https://www.hs.ias.edu/","Institute for Advanced Study (IAS)")</f>
        <v>Institute for Advanced Study (IAS)</v>
      </c>
      <c r="C54" s="55" t="s">
        <v>8</v>
      </c>
      <c r="D54" s="60" t="str">
        <f>HYPERLINK("https://www.hs.ias.edu/mem_announcement","School of Historical Studies Membership")</f>
        <v>School of Historical Studies Membership</v>
      </c>
      <c r="E54" s="56" t="s">
        <v>21</v>
      </c>
      <c r="F54" s="57" t="s">
        <v>12</v>
      </c>
      <c r="G54" s="57"/>
      <c r="H54" s="57" t="s">
        <v>138</v>
      </c>
      <c r="I54" s="58" t="s">
        <v>139</v>
      </c>
    </row>
    <row r="55" spans="1:9" s="10" customFormat="1" ht="102">
      <c r="A55" s="85">
        <v>43405</v>
      </c>
      <c r="B55" s="86" t="s">
        <v>569</v>
      </c>
      <c r="C55" s="87" t="s">
        <v>8</v>
      </c>
      <c r="D55" s="86" t="s">
        <v>225</v>
      </c>
      <c r="E55" s="78" t="s">
        <v>108</v>
      </c>
      <c r="F55" s="78" t="s">
        <v>12</v>
      </c>
      <c r="G55" s="88"/>
      <c r="H55" s="57" t="s">
        <v>138</v>
      </c>
      <c r="I55" s="89" t="s">
        <v>570</v>
      </c>
    </row>
    <row r="56" spans="1:9" s="10" customFormat="1" ht="102">
      <c r="A56" s="71">
        <v>43405</v>
      </c>
      <c r="B56" s="84" t="str">
        <f>HYPERLINK("http://librarycompany.org/","Library Company of Philadelphia")</f>
        <v>Library Company of Philadelphia</v>
      </c>
      <c r="C56" s="73" t="s">
        <v>29</v>
      </c>
      <c r="D56" s="84" t="str">
        <f>HYPERLINK("http://librarycompany.org/academic-programs/fellowships/postdoc/","NEH Post-doctoral Fellowship")</f>
        <v>NEH Post-doctoral Fellowship</v>
      </c>
      <c r="E56" s="75" t="s">
        <v>21</v>
      </c>
      <c r="F56" s="76" t="s">
        <v>12</v>
      </c>
      <c r="G56" s="76"/>
      <c r="H56" s="76" t="s">
        <v>188</v>
      </c>
      <c r="I56" s="77" t="s">
        <v>189</v>
      </c>
    </row>
    <row r="57" spans="1:9" s="10" customFormat="1" ht="51">
      <c r="A57" s="1">
        <v>43419</v>
      </c>
      <c r="B57" s="4" t="str">
        <f>HYPERLINK("http://www.huntington.org/","Huntington")</f>
        <v>Huntington</v>
      </c>
      <c r="C57" s="34" t="s">
        <v>29</v>
      </c>
      <c r="D57" s="35" t="str">
        <f>HYPERLINK("http://www.huntington.org/WebAssets/Templates/content.aspx?id=21991","Dibner Program in the History of Science")</f>
        <v>Dibner Program in the History of Science</v>
      </c>
      <c r="E57" s="5" t="s">
        <v>21</v>
      </c>
      <c r="F57" s="6" t="s">
        <v>12</v>
      </c>
      <c r="G57" s="6"/>
      <c r="H57" s="6" t="s">
        <v>228</v>
      </c>
      <c r="I57" s="12" t="s">
        <v>229</v>
      </c>
    </row>
    <row r="58" spans="1:9" s="10" customFormat="1" ht="153">
      <c r="A58" s="1">
        <v>43424</v>
      </c>
      <c r="B58" s="4" t="str">
        <f>HYPERLINK("http://isaw.nyu.edu/","New York University Institute for Study of the Ancient World")</f>
        <v>New York University Institute for Study of the Ancient World</v>
      </c>
      <c r="C58" s="3" t="s">
        <v>8</v>
      </c>
      <c r="D58" s="13" t="s">
        <v>231</v>
      </c>
      <c r="E58" s="5" t="s">
        <v>21</v>
      </c>
      <c r="F58" s="6" t="s">
        <v>12</v>
      </c>
      <c r="G58" s="6"/>
      <c r="H58" s="7">
        <v>71050</v>
      </c>
      <c r="I58" s="12" t="s">
        <v>232</v>
      </c>
    </row>
    <row r="59" spans="1:9" s="10" customFormat="1" ht="127.5">
      <c r="A59" s="1">
        <v>43435</v>
      </c>
      <c r="B59" s="4" t="str">
        <f>HYPERLINK("https://www.brown.edu/academics/libraries/john-carter-brown/","John Carter Brown Library")</f>
        <v>John Carter Brown Library</v>
      </c>
      <c r="C59" s="3" t="s">
        <v>8</v>
      </c>
      <c r="D59" s="4" t="str">
        <f>HYPERLINK("https://www.brown.edu/academics/libraries/john-carter-brown/fellowships/description-fellowship-program","Short-Term Fellowship")</f>
        <v>Short-Term Fellowship</v>
      </c>
      <c r="E59" s="5" t="s">
        <v>21</v>
      </c>
      <c r="F59" s="5" t="s">
        <v>25</v>
      </c>
      <c r="G59" s="6"/>
      <c r="H59" s="7" t="s">
        <v>236</v>
      </c>
      <c r="I59" s="8" t="s">
        <v>578</v>
      </c>
    </row>
    <row r="60" spans="1:9" s="10" customFormat="1" ht="165.75">
      <c r="A60" s="1">
        <v>43435</v>
      </c>
      <c r="B60" s="4" t="str">
        <f>HYPERLINK("https://www.brown.edu/academics/libraries/john-carter-brown/","John Carter Brown Library")</f>
        <v>John Carter Brown Library</v>
      </c>
      <c r="C60" s="3" t="s">
        <v>8</v>
      </c>
      <c r="D60" s="4" t="str">
        <f>HYPERLINK("https://www.brown.edu/academics/libraries/john-carter-brown/fellowships/description-fellowship-program","Long-Term Fellowship")</f>
        <v>Long-Term Fellowship</v>
      </c>
      <c r="E60" s="5" t="s">
        <v>21</v>
      </c>
      <c r="F60" s="5" t="s">
        <v>25</v>
      </c>
      <c r="G60" s="6"/>
      <c r="H60" s="7" t="s">
        <v>237</v>
      </c>
      <c r="I60" s="8" t="s">
        <v>579</v>
      </c>
    </row>
    <row r="61" spans="1:9" s="10" customFormat="1" ht="127.5">
      <c r="A61" s="1">
        <v>43435</v>
      </c>
      <c r="B61" s="4" t="str">
        <f>HYPERLINK("https://history.princeton.edu/","Princeton History Dept")</f>
        <v>Princeton History Dept</v>
      </c>
      <c r="C61" s="3" t="s">
        <v>8</v>
      </c>
      <c r="D61" s="13" t="s">
        <v>25</v>
      </c>
      <c r="E61" s="5" t="s">
        <v>21</v>
      </c>
      <c r="F61" s="6" t="s">
        <v>12</v>
      </c>
      <c r="G61" s="6"/>
      <c r="H61" s="6" t="s">
        <v>242</v>
      </c>
      <c r="I61" s="12" t="s">
        <v>243</v>
      </c>
    </row>
    <row r="62" spans="1:9" s="10" customFormat="1" ht="153">
      <c r="A62" s="11">
        <v>43437</v>
      </c>
      <c r="B62" s="4" t="str">
        <f>HYPERLINK("http://www.crassh.cam.ac.uk/","CRASSH Center for Research in the Arts, Social Sciences, and Humanities")</f>
        <v>CRASSH Center for Research in the Arts, Social Sciences, and Humanities</v>
      </c>
      <c r="C62" s="3" t="s">
        <v>15</v>
      </c>
      <c r="D62" s="13" t="s">
        <v>248</v>
      </c>
      <c r="E62" s="5" t="s">
        <v>21</v>
      </c>
      <c r="F62" s="6" t="s">
        <v>12</v>
      </c>
      <c r="G62" s="6"/>
      <c r="H62" s="6"/>
      <c r="I62" s="12" t="s">
        <v>249</v>
      </c>
    </row>
    <row r="63" spans="1:9" s="10" customFormat="1" ht="255">
      <c r="A63" s="1">
        <v>43479</v>
      </c>
      <c r="B63" s="4" t="str">
        <f>HYPERLINK("http://hcl.harvard.edu/index.cfm","Harvard College Library")</f>
        <v>Harvard College Library</v>
      </c>
      <c r="C63" s="3" t="s">
        <v>8</v>
      </c>
      <c r="D63" s="20" t="str">
        <f>HYPERLINK("https://library.harvard.edu/about/grants-fellowships/houghton-library-visiting-fellowships","Houghton Library Visiting Fellowships")</f>
        <v>Houghton Library Visiting Fellowships</v>
      </c>
      <c r="E63" s="5" t="s">
        <v>21</v>
      </c>
      <c r="F63" s="6" t="s">
        <v>12</v>
      </c>
      <c r="G63" s="6"/>
      <c r="H63" s="7">
        <v>3600</v>
      </c>
      <c r="I63" s="12" t="s">
        <v>280</v>
      </c>
    </row>
    <row r="64" spans="1:9" s="10" customFormat="1" ht="76.5">
      <c r="A64" s="1">
        <v>43480</v>
      </c>
      <c r="B64" s="4" t="str">
        <f>HYPERLINK("https://www.brown.edu/academics/libraries/john-carter-brown/","John Carter Brown Library")</f>
        <v>John Carter Brown Library</v>
      </c>
      <c r="C64" s="3" t="s">
        <v>29</v>
      </c>
      <c r="D64" s="20" t="str">
        <f>HYPERLINK("https://www.brown.edu/academics/libraries/john-carter-brown/fellowships/description-fellowship-program","Collaborative Cluster Fellowships")</f>
        <v>Collaborative Cluster Fellowships</v>
      </c>
      <c r="E64" s="5" t="s">
        <v>21</v>
      </c>
      <c r="F64" s="6" t="s">
        <v>12</v>
      </c>
      <c r="G64" s="6"/>
      <c r="H64" s="6" t="s">
        <v>291</v>
      </c>
      <c r="I64" s="12" t="s">
        <v>292</v>
      </c>
    </row>
    <row r="65" spans="1:9" s="10" customFormat="1" ht="102">
      <c r="A65" s="1">
        <v>43480</v>
      </c>
      <c r="B65" s="4" t="str">
        <f>HYPERLINK("https://www.si.edu/","Smithsonian Institution")</f>
        <v>Smithsonian Institution</v>
      </c>
      <c r="C65" s="3" t="s">
        <v>19</v>
      </c>
      <c r="D65" s="4" t="str">
        <f>HYPERLINK("https://www.smithsonianofi.com/the-margaret-henry-dabney-penick-resident-scholar-program/","Margaret Henry Dabney Penick Resident Scholar Program")</f>
        <v>Margaret Henry Dabney Penick Resident Scholar Program</v>
      </c>
      <c r="E65" s="5" t="s">
        <v>21</v>
      </c>
      <c r="F65" s="6" t="s">
        <v>12</v>
      </c>
      <c r="G65" s="6"/>
      <c r="H65" s="7" t="s">
        <v>293</v>
      </c>
      <c r="I65" s="12" t="s">
        <v>294</v>
      </c>
    </row>
    <row r="66" spans="1:9" s="10" customFormat="1" ht="127.5">
      <c r="A66" s="1">
        <v>43525</v>
      </c>
      <c r="B66" s="4" t="str">
        <f>HYPERLINK("http://librarycompany.org","Library Company of Philadelphia")</f>
        <v>Library Company of Philadelphia</v>
      </c>
      <c r="C66" s="3" t="s">
        <v>29</v>
      </c>
      <c r="D66" s="4" t="str">
        <f>HYPERLINK("http://librarycompany.org/academic-programs/fellowships/short-term/","Short-Term Fellowships")</f>
        <v>Short-Term Fellowships</v>
      </c>
      <c r="E66" s="5" t="s">
        <v>21</v>
      </c>
      <c r="F66" s="6" t="s">
        <v>12</v>
      </c>
      <c r="G66" s="6"/>
      <c r="H66" s="7">
        <v>2000</v>
      </c>
      <c r="I66" s="12" t="s">
        <v>362</v>
      </c>
    </row>
    <row r="67" spans="1:9" s="10" customFormat="1" ht="216.75">
      <c r="A67" s="1">
        <v>43525</v>
      </c>
      <c r="B67" s="4" t="str">
        <f>HYPERLINK("ibrarycompany.org/","Library Company of Philadeplhia")</f>
        <v>Library Company of Philadeplhia</v>
      </c>
      <c r="C67" s="3" t="s">
        <v>15</v>
      </c>
      <c r="D67" s="4" t="str">
        <f>HYPERLINK("http://librarycompany.org/academic-programs/fellowships/application/","Mellon Scholars Fellowship Program")</f>
        <v>Mellon Scholars Fellowship Program</v>
      </c>
      <c r="E67" s="5" t="s">
        <v>21</v>
      </c>
      <c r="F67" s="6" t="s">
        <v>12</v>
      </c>
      <c r="G67" s="6"/>
      <c r="H67" s="6" t="s">
        <v>363</v>
      </c>
      <c r="I67" s="12" t="s">
        <v>364</v>
      </c>
    </row>
    <row r="68" spans="1:9" s="10" customFormat="1" ht="191.25">
      <c r="A68" s="1">
        <v>43556</v>
      </c>
      <c r="B68" s="4" t="str">
        <f>HYPERLINK("https://www.historians.org/","American Historical Association")</f>
        <v>American Historical Association</v>
      </c>
      <c r="C68" s="5" t="s">
        <v>15</v>
      </c>
      <c r="D68" s="4" t="str">
        <f>HYPERLINK("https://www.historians.org/awards-and-grants/grants-and-fellowships/fellowships-in-aerospace-history","Fellowship in Aerospace History")</f>
        <v>Fellowship in Aerospace History</v>
      </c>
      <c r="E68" s="5" t="s">
        <v>21</v>
      </c>
      <c r="F68" s="5" t="s">
        <v>25</v>
      </c>
      <c r="G68" s="18"/>
      <c r="H68" s="7" t="s">
        <v>379</v>
      </c>
      <c r="I68" s="12" t="s">
        <v>380</v>
      </c>
    </row>
    <row r="69" spans="1:9" s="10" customFormat="1" ht="63.75">
      <c r="A69" s="1">
        <v>43556</v>
      </c>
      <c r="B69" s="4" t="str">
        <f>HYPERLINK("https://www.historians.org/","American Historical Association")</f>
        <v>American Historical Association</v>
      </c>
      <c r="C69" s="5" t="s">
        <v>15</v>
      </c>
      <c r="D69" s="13" t="s">
        <v>382</v>
      </c>
      <c r="E69" s="5" t="s">
        <v>21</v>
      </c>
      <c r="F69" s="6" t="s">
        <v>12</v>
      </c>
      <c r="G69" s="6" t="s">
        <v>71</v>
      </c>
      <c r="H69" s="7">
        <v>5000</v>
      </c>
      <c r="I69" s="12" t="s">
        <v>383</v>
      </c>
    </row>
    <row r="70" spans="1:9" s="10" customFormat="1" ht="38.25">
      <c r="A70" s="1">
        <v>43570</v>
      </c>
      <c r="B70" s="4" t="str">
        <f>HYPERLINK("http://www.congregationallibrary.org/","Congregational Library")</f>
        <v>Congregational Library</v>
      </c>
      <c r="C70" s="3" t="s">
        <v>15</v>
      </c>
      <c r="D70" s="20" t="str">
        <f>HYPERLINK("http://www.congregationallibrary.org/researchers/research-scholarships","Boston Athenæum Fellowship")</f>
        <v>Boston Athenæum Fellowship</v>
      </c>
      <c r="E70" s="5" t="s">
        <v>21</v>
      </c>
      <c r="F70" s="6" t="s">
        <v>12</v>
      </c>
      <c r="G70" s="6"/>
      <c r="H70" s="6" t="s">
        <v>396</v>
      </c>
      <c r="I70" s="12" t="s">
        <v>397</v>
      </c>
    </row>
    <row r="71" spans="1:9" s="10" customFormat="1" ht="76.5">
      <c r="A71" s="1">
        <v>43598</v>
      </c>
      <c r="B71" s="4" t="str">
        <f>HYPERLINK("https://www.gilderlehrman.org/","Gilder Lehrman Institute of American History")</f>
        <v>Gilder Lehrman Institute of American History</v>
      </c>
      <c r="C71" s="3" t="s">
        <v>15</v>
      </c>
      <c r="D71" s="4" t="str">
        <f>HYPERLINK("https://www.gilderlehrman.org/content/scholarly-fellowships","Gilder Lehrman fellowships")</f>
        <v>Gilder Lehrman fellowships</v>
      </c>
      <c r="E71" s="5" t="s">
        <v>21</v>
      </c>
      <c r="F71" s="6" t="s">
        <v>246</v>
      </c>
      <c r="G71" s="6"/>
      <c r="H71" s="7">
        <v>3000</v>
      </c>
      <c r="I71" s="12" t="s">
        <v>416</v>
      </c>
    </row>
    <row r="72" spans="1:9" s="10" customFormat="1" ht="165.75">
      <c r="A72" s="1">
        <v>43709</v>
      </c>
      <c r="B72" s="45" t="str">
        <f>HYPERLINK("https://www.ghi-dc.org/fellowships-programs/fellowships-grants/binational-research-tandem-program-in-global-history-and-trans-regional-history.html?L=0","Weber Foundation - German Humanities Institutes Abroad, Max
German Historical Institute (GHI) Washington DC")</f>
        <v>Weber Foundation - German Humanities Institutes Abroad, Max
German Historical Institute (GHI) Washington DC</v>
      </c>
      <c r="C72" s="3" t="s">
        <v>15</v>
      </c>
      <c r="D72" s="3" t="s">
        <v>443</v>
      </c>
      <c r="E72" s="5" t="s">
        <v>21</v>
      </c>
      <c r="F72" s="6" t="s">
        <v>12</v>
      </c>
      <c r="G72" s="11"/>
      <c r="H72" s="46" t="s">
        <v>444</v>
      </c>
      <c r="I72" s="12" t="s">
        <v>445</v>
      </c>
    </row>
    <row r="73" spans="1:9" s="10" customFormat="1" ht="204">
      <c r="A73" s="1">
        <v>43709</v>
      </c>
      <c r="B73" s="45" t="str">
        <f>HYPERLINK("https://www.ghi-dc.org/home.html?L=0","German Historical Institute (GHI) Washington DC of the Max Weber Foundation")</f>
        <v>German Historical Institute (GHI) Washington DC of the Max Weber Foundation</v>
      </c>
      <c r="C73" s="3" t="s">
        <v>15</v>
      </c>
      <c r="D73" s="45" t="str">
        <f>HYPERLINK("https://www.ghi-dc.org/fellowships-programs/fellowships-grants/binational-research-tandem-program-in-global-history-and-trans-regional-history.html?L=0","Binational Research Tandem Program in Global History and Trans-Regional History")</f>
        <v>Binational Research Tandem Program in Global History and Trans-Regional History</v>
      </c>
      <c r="E73" s="5" t="s">
        <v>21</v>
      </c>
      <c r="F73" s="6" t="s">
        <v>12</v>
      </c>
      <c r="G73" s="11"/>
      <c r="H73" s="46" t="s">
        <v>446</v>
      </c>
      <c r="I73" s="12" t="s">
        <v>447</v>
      </c>
    </row>
    <row r="74" spans="1:9" s="10" customFormat="1" ht="140.25">
      <c r="A74" s="1">
        <v>43800</v>
      </c>
      <c r="B74" s="4" t="str">
        <f>HYPERLINK("https://airandspace.si.edu/","Smithsonian National Air and Space Museum")</f>
        <v>Smithsonian National Air and Space Museum</v>
      </c>
      <c r="C74" s="3" t="s">
        <v>19</v>
      </c>
      <c r="D74" s="13" t="str">
        <f>HYPERLINK("https://airandspace.si.edu/support/get-involved/fellowships/verville","A. Verville Fellowship")</f>
        <v>A. Verville Fellowship</v>
      </c>
      <c r="E74" s="5" t="s">
        <v>21</v>
      </c>
      <c r="F74" s="5" t="s">
        <v>25</v>
      </c>
      <c r="G74" s="6"/>
      <c r="H74" s="6">
        <v>55000</v>
      </c>
      <c r="I74" s="12" t="s">
        <v>492</v>
      </c>
    </row>
    <row r="75" spans="1:9" s="10" customFormat="1" ht="127.5">
      <c r="A75" s="1">
        <v>43800</v>
      </c>
      <c r="B75" s="4" t="str">
        <f>HYPERLINK("https://airandspace.si.edu/","Smithsonian National Air and Space Museum")</f>
        <v>Smithsonian National Air and Space Museum</v>
      </c>
      <c r="C75" s="3" t="s">
        <v>19</v>
      </c>
      <c r="D75" s="13" t="str">
        <f>HYPERLINK("https://airandspace.si.edu/support/get-involved/fellowships/charles-lindbergh-chair-aerospace-history","Charles A. Lindbergh Chair in Aerospace History")</f>
        <v>Charles A. Lindbergh Chair in Aerospace History</v>
      </c>
      <c r="E75" s="5" t="s">
        <v>21</v>
      </c>
      <c r="F75" s="5" t="s">
        <v>25</v>
      </c>
      <c r="G75" s="6" t="s">
        <v>493</v>
      </c>
      <c r="H75" s="6">
        <v>100000</v>
      </c>
      <c r="I75" s="12" t="s">
        <v>494</v>
      </c>
    </row>
    <row r="76" spans="1:9" s="10" customFormat="1" ht="102">
      <c r="A76" s="1">
        <v>43770</v>
      </c>
      <c r="B76" s="4" t="str">
        <f>HYPERLINK("http://www.american-music.org","Society for American Music")</f>
        <v>Society for American Music</v>
      </c>
      <c r="C76" s="3" t="s">
        <v>15</v>
      </c>
      <c r="D76" s="20" t="str">
        <f>HYPERLINK("https://www.american-music.org/page/BlockFWP","Adrienne Fried Block Fellowship")</f>
        <v>Adrienne Fried Block Fellowship</v>
      </c>
      <c r="E76" s="5" t="s">
        <v>477</v>
      </c>
      <c r="F76" s="5" t="s">
        <v>25</v>
      </c>
      <c r="G76" s="6"/>
      <c r="H76" s="6" t="s">
        <v>478</v>
      </c>
      <c r="I76" s="12" t="s">
        <v>479</v>
      </c>
    </row>
    <row r="77" spans="1:9" s="10" customFormat="1" ht="114.75">
      <c r="A77" s="1">
        <v>43861</v>
      </c>
      <c r="B77" s="2" t="str">
        <f>HYPERLINK("https://www.sas.ac.uk/","University of London, School of Advanced Study")</f>
        <v>University of London, School of Advanced Study</v>
      </c>
      <c r="C77" s="3" t="s">
        <v>8</v>
      </c>
      <c r="D77" s="4" t="str">
        <f>HYPERLINK("https://www.sas.ac.uk/support-research/fellowships/instituteconsortium-fellowships#philosophy","Institute of Philosophy Fellowship")</f>
        <v>Institute of Philosophy Fellowship</v>
      </c>
      <c r="E77" s="5" t="s">
        <v>507</v>
      </c>
      <c r="F77" s="6" t="s">
        <v>12</v>
      </c>
      <c r="G77" s="6"/>
      <c r="H77" s="7"/>
      <c r="I77" s="8" t="s">
        <v>508</v>
      </c>
    </row>
    <row r="78" spans="1:9" s="10" customFormat="1" ht="140.25">
      <c r="A78" s="1">
        <v>43500</v>
      </c>
      <c r="B78" s="4" t="str">
        <f>HYPERLINK("https://www.marybakereddylibrary.org/","Mary Baker Eddy Library")</f>
        <v>Mary Baker Eddy Library</v>
      </c>
      <c r="C78" s="3" t="s">
        <v>29</v>
      </c>
      <c r="D78" s="4" t="str">
        <f>HYPERLINK("https://www.marybakereddylibrary.org/research/fellows/","Fellowship Program ")</f>
        <v xml:space="preserve">Fellowship Program </v>
      </c>
      <c r="E78" s="5" t="s">
        <v>62</v>
      </c>
      <c r="F78" s="6" t="s">
        <v>12</v>
      </c>
      <c r="G78" s="18"/>
      <c r="H78" s="6"/>
      <c r="I78" s="12" t="s">
        <v>341</v>
      </c>
    </row>
    <row r="79" spans="1:9" s="10" customFormat="1" ht="204">
      <c r="A79" s="11">
        <v>43374</v>
      </c>
      <c r="B79" s="2" t="str">
        <f>HYPERLINK("https://hds.harvard.edu/home","Harvard University Divinity School")</f>
        <v>Harvard University Divinity School</v>
      </c>
      <c r="C79" s="3" t="s">
        <v>8</v>
      </c>
      <c r="D79" s="2" t="str">
        <f>HYPERLINK("https://wsrp.hds.harvard.edu/research-associates","Women's Studies in Religion Research Associates")</f>
        <v>Women's Studies in Religion Research Associates</v>
      </c>
      <c r="E79" s="5" t="s">
        <v>103</v>
      </c>
      <c r="F79" s="5" t="s">
        <v>25</v>
      </c>
      <c r="G79" s="6"/>
      <c r="H79" s="7">
        <v>60000</v>
      </c>
      <c r="I79" s="12" t="s">
        <v>604</v>
      </c>
    </row>
    <row r="80" spans="1:9" s="10" customFormat="1" ht="229.5">
      <c r="A80" s="1">
        <v>43405</v>
      </c>
      <c r="B80" s="14" t="str">
        <f>HYPERLINK("https://irh.wisc.edu/","Institute for Research in the Humanities University of Wisconsin - Madison")</f>
        <v>Institute for Research in the Humanities University of Wisconsin - Madison</v>
      </c>
      <c r="C80" s="3" t="s">
        <v>190</v>
      </c>
      <c r="D80" s="14" t="str">
        <f>HYPERLINK("https://irh.wisc.edu/fellowships/kingdon","Kingdon Fellowships")</f>
        <v>Kingdon Fellowships</v>
      </c>
      <c r="E80" s="5" t="s">
        <v>103</v>
      </c>
      <c r="F80" s="6" t="s">
        <v>12</v>
      </c>
      <c r="G80" s="6"/>
      <c r="H80" s="7">
        <v>55000</v>
      </c>
      <c r="I80" s="12" t="s">
        <v>191</v>
      </c>
    </row>
    <row r="81" spans="1:9" s="10" customFormat="1" ht="140.25">
      <c r="A81" s="1">
        <v>43574</v>
      </c>
      <c r="B81" s="43" t="str">
        <f>HYPERLINK("http://www.jp2center.org/","John Paul II Center")</f>
        <v>John Paul II Center</v>
      </c>
      <c r="C81" s="3" t="s">
        <v>8</v>
      </c>
      <c r="D81" s="4" t="str">
        <f>HYPERLINK("http://www.jp2center.org/programs/fellowship/","John Paul II Center for Interreligious Studies Fellowship in Interreligious Studies")</f>
        <v>John Paul II Center for Interreligious Studies Fellowship in Interreligious Studies</v>
      </c>
      <c r="E81" s="5" t="s">
        <v>103</v>
      </c>
      <c r="F81" s="6" t="s">
        <v>12</v>
      </c>
      <c r="G81" s="6"/>
      <c r="H81" s="6"/>
      <c r="I81" s="12" t="s">
        <v>398</v>
      </c>
    </row>
    <row r="82" spans="1:9" s="10" customFormat="1" ht="140.25">
      <c r="A82" s="1">
        <v>43770</v>
      </c>
      <c r="B82" s="4" t="str">
        <f>HYPERLINK("https://ism.yale.edu/","Yale Institute of Sacred Music")</f>
        <v>Yale Institute of Sacred Music</v>
      </c>
      <c r="C82" s="3" t="s">
        <v>300</v>
      </c>
      <c r="D82" s="23" t="str">
        <f>HYPERLINK("https://ism.yale.edu/fellowships/short-term-collections-based-fellowships","ISM Fellowships")</f>
        <v>ISM Fellowships</v>
      </c>
      <c r="E82" s="5" t="s">
        <v>483</v>
      </c>
      <c r="F82" s="5" t="s">
        <v>25</v>
      </c>
      <c r="G82" s="6"/>
      <c r="H82" s="7"/>
      <c r="I82" s="12" t="s">
        <v>484</v>
      </c>
    </row>
    <row r="83" spans="1:9" s="10" customFormat="1" ht="102">
      <c r="A83" s="1">
        <v>43397</v>
      </c>
      <c r="B83" s="14" t="str">
        <f>HYPERLINK("https://www.acls.org","American Council of Learned Societies")</f>
        <v>American Council of Learned Societies</v>
      </c>
      <c r="C83" s="3" t="s">
        <v>15</v>
      </c>
      <c r="D83" s="14" t="str">
        <f>HYPERLINK("https://www.acls.org/programs/Luce-ACLS-fellowships/","Luce/ACLS Program in Religion, Journalism &amp; International Affairs Fellowships ")</f>
        <v xml:space="preserve">Luce/ACLS Program in Religion, Journalism &amp; International Affairs Fellowships </v>
      </c>
      <c r="E83" s="5" t="s">
        <v>157</v>
      </c>
      <c r="F83" s="5" t="s">
        <v>25</v>
      </c>
      <c r="G83" s="6"/>
      <c r="H83" s="7">
        <v>55000</v>
      </c>
      <c r="I83" s="12" t="s">
        <v>605</v>
      </c>
    </row>
    <row r="84" spans="1:9" s="10" customFormat="1" ht="140.25">
      <c r="A84" s="11">
        <v>43495</v>
      </c>
      <c r="B84" s="2" t="str">
        <f>HYPERLINK("https://www.banffcentre.ca/","Banff Center")</f>
        <v>Banff Center</v>
      </c>
      <c r="C84" s="3" t="s">
        <v>46</v>
      </c>
      <c r="D84" s="2" t="str">
        <f>HYPERLINK("https://www.banffcentre.ca/programs/banff-international-literary-translation-centre/20190603","International Literary Translation Centre")</f>
        <v>International Literary Translation Centre</v>
      </c>
      <c r="E84" s="5" t="s">
        <v>319</v>
      </c>
      <c r="F84" s="5" t="s">
        <v>25</v>
      </c>
      <c r="G84" s="6" t="s">
        <v>320</v>
      </c>
      <c r="H84" s="7"/>
      <c r="I84" s="12" t="s">
        <v>580</v>
      </c>
    </row>
    <row r="85" spans="1:9" s="10" customFormat="1" ht="102">
      <c r="A85" s="11">
        <v>43753</v>
      </c>
      <c r="B85" s="2" t="str">
        <f>HYPERLINK("http://www.amylowell.org/index.html","Amy Lowell Scholarship Fund")</f>
        <v>Amy Lowell Scholarship Fund</v>
      </c>
      <c r="C85" s="3" t="s">
        <v>15</v>
      </c>
      <c r="D85" s="2" t="str">
        <f>HYPERLINK("http://www.amylowell.org/index.html","Amy Lowell Poetry Traveling Scholarship")</f>
        <v>Amy Lowell Poetry Traveling Scholarship</v>
      </c>
      <c r="E85" s="5" t="s">
        <v>472</v>
      </c>
      <c r="F85" s="5" t="s">
        <v>25</v>
      </c>
      <c r="G85" s="6"/>
      <c r="H85" s="7">
        <v>59000</v>
      </c>
      <c r="I85" s="12" t="s">
        <v>473</v>
      </c>
    </row>
    <row r="86" spans="1:9" s="10" customFormat="1" ht="63.75">
      <c r="A86" s="5" t="s">
        <v>513</v>
      </c>
      <c r="B86" s="2" t="str">
        <f>HYPERLINK("https://berkshiretaconic.org/default.aspx","Berkshire Taconic Community Foundation")</f>
        <v>Berkshire Taconic Community Foundation</v>
      </c>
      <c r="C86" s="3" t="s">
        <v>15</v>
      </c>
      <c r="D86" s="2" t="str">
        <f>HYPERLINK("http://berkshiretaconic.org/bReceivebNonprofitsIndividuals/SearchApplyforGrants/TheAmyClampittResidencyProgram.aspx","The Amy Clampitt Residency Program")</f>
        <v>The Amy Clampitt Residency Program</v>
      </c>
      <c r="E86" s="5" t="s">
        <v>472</v>
      </c>
      <c r="F86" s="5" t="s">
        <v>25</v>
      </c>
      <c r="G86" s="6"/>
      <c r="H86" s="7"/>
      <c r="I86" s="12" t="s">
        <v>514</v>
      </c>
    </row>
    <row r="87" spans="1:9" s="10" customFormat="1" ht="165.75">
      <c r="A87" s="1">
        <v>43251</v>
      </c>
      <c r="B87" s="4" t="str">
        <f>HYPERLINK("http://www.anu.edu.au/","Australian National University Research School of Humanities and the Arts")</f>
        <v>Australian National University Research School of Humanities and the Arts</v>
      </c>
      <c r="C87" s="3" t="s">
        <v>8</v>
      </c>
      <c r="D87" s="20" t="str">
        <f>HYPERLINK("http://hrc.cass.anu.edu.au/visiting-fellows-program","Humanities Research Centre Visiting Fellowships")</f>
        <v>Humanities Research Centre Visiting Fellowships</v>
      </c>
      <c r="E87" s="5" t="s">
        <v>16</v>
      </c>
      <c r="F87" s="6" t="s">
        <v>12</v>
      </c>
      <c r="G87" s="6"/>
      <c r="H87" s="6" t="s">
        <v>35</v>
      </c>
      <c r="I87" s="12" t="s">
        <v>36</v>
      </c>
    </row>
    <row r="88" spans="1:9" s="10" customFormat="1" ht="165.75">
      <c r="A88" s="1">
        <v>43251</v>
      </c>
      <c r="B88" s="49" t="str">
        <f>HYPERLINK("https://eastwestdialogue.org/","East West: The Art of dialogue ")</f>
        <v xml:space="preserve">East West: The Art of dialogue </v>
      </c>
      <c r="C88" s="3" t="s">
        <v>15</v>
      </c>
      <c r="D88" s="13" t="s">
        <v>38</v>
      </c>
      <c r="E88" s="5" t="s">
        <v>16</v>
      </c>
      <c r="F88" s="5" t="s">
        <v>39</v>
      </c>
      <c r="G88" s="6" t="s">
        <v>40</v>
      </c>
      <c r="H88" s="6"/>
      <c r="I88" s="12" t="s">
        <v>41</v>
      </c>
    </row>
    <row r="89" spans="1:9" s="10" customFormat="1" ht="178.5">
      <c r="A89" s="1">
        <v>43328</v>
      </c>
      <c r="B89" s="26" t="str">
        <f>HYPERLINK("https://rework.hu-berlin.de/en/fellowships.html","International Research Centre ‘Work and Human Lifecycle in Global History’ at Humboldt University in Berlin")</f>
        <v>International Research Centre ‘Work and Human Lifecycle in Global History’ at Humboldt University in Berlin</v>
      </c>
      <c r="C89" s="3" t="s">
        <v>8</v>
      </c>
      <c r="D89" s="13" t="s">
        <v>64</v>
      </c>
      <c r="E89" s="5" t="s">
        <v>16</v>
      </c>
      <c r="F89" s="6" t="s">
        <v>12</v>
      </c>
      <c r="G89" s="18"/>
      <c r="H89" s="6" t="s">
        <v>65</v>
      </c>
      <c r="I89" s="12" t="s">
        <v>66</v>
      </c>
    </row>
    <row r="90" spans="1:9" s="10" customFormat="1" ht="242.25">
      <c r="A90" s="1">
        <v>43358</v>
      </c>
      <c r="B90" s="4" t="str">
        <f>HYPERLINK("https://www.rsa.org/","Renaissance Society of America")</f>
        <v>Renaissance Society of America</v>
      </c>
      <c r="C90" s="3" t="s">
        <v>15</v>
      </c>
      <c r="D90" s="4" t="str">
        <f>HYPERLINK("https://www.rsa.org/page/fellowships", "Residential Fellowships")</f>
        <v>Residential Fellowships</v>
      </c>
      <c r="E90" s="5" t="s">
        <v>16</v>
      </c>
      <c r="F90" s="6" t="s">
        <v>12</v>
      </c>
      <c r="G90" s="6"/>
      <c r="H90" s="7" t="s">
        <v>77</v>
      </c>
      <c r="I90" s="12" t="s">
        <v>78</v>
      </c>
    </row>
    <row r="91" spans="1:9" s="10" customFormat="1" ht="191.25">
      <c r="A91" s="1">
        <v>43358</v>
      </c>
      <c r="B91" s="4" t="str">
        <f>HYPERLINK("https://www.rsa.org/","Renaissance Society of America")</f>
        <v>Renaissance Society of America</v>
      </c>
      <c r="C91" s="3" t="s">
        <v>15</v>
      </c>
      <c r="D91" s="4" t="str">
        <f>HYPERLINK("https://www.rsa.org/page/fellowships","Research Fellowships")</f>
        <v>Research Fellowships</v>
      </c>
      <c r="E91" s="5" t="s">
        <v>16</v>
      </c>
      <c r="F91" s="5" t="s">
        <v>25</v>
      </c>
      <c r="G91" s="6"/>
      <c r="H91" s="7">
        <v>3000</v>
      </c>
      <c r="I91" s="12" t="s">
        <v>606</v>
      </c>
    </row>
    <row r="92" spans="1:9" s="10" customFormat="1" ht="165.75">
      <c r="A92" s="1">
        <v>43369</v>
      </c>
      <c r="B92" s="4" t="str">
        <f>HYPERLINK("https://www.acls.org/","American Council of Learned Societies")</f>
        <v>American Council of Learned Societies</v>
      </c>
      <c r="C92" s="3" t="s">
        <v>15</v>
      </c>
      <c r="D92" s="4" t="str">
        <f>HYPERLINK("http://www.acls.org/programs/burkhardt/","Frederick Burkhardt Residential Fellowships for Recently Tenured Scholars")</f>
        <v>Frederick Burkhardt Residential Fellowships for Recently Tenured Scholars</v>
      </c>
      <c r="E92" s="5" t="s">
        <v>16</v>
      </c>
      <c r="F92" s="6" t="s">
        <v>12</v>
      </c>
      <c r="G92" s="6" t="s">
        <v>92</v>
      </c>
      <c r="H92" s="6" t="s">
        <v>96</v>
      </c>
      <c r="I92" s="12" t="s">
        <v>97</v>
      </c>
    </row>
    <row r="93" spans="1:9" s="10" customFormat="1" ht="153">
      <c r="A93" s="1">
        <v>43371</v>
      </c>
      <c r="B93" s="4" t="str">
        <f>HYPERLINK("https://www.nypl.org/","New York Public Library")</f>
        <v>New York Public Library</v>
      </c>
      <c r="C93" s="3" t="s">
        <v>29</v>
      </c>
      <c r="D93" s="4" t="str">
        <f>HYPERLINK("https://www.nypl.org/help/about-nypl/fellowships-institutes/center-for-scholars-and-writers/fellowships-at-the-cullman-center","Fellowship for Scholars and Writers")</f>
        <v>Fellowship for Scholars and Writers</v>
      </c>
      <c r="E93" s="5" t="s">
        <v>16</v>
      </c>
      <c r="F93" s="6" t="s">
        <v>12</v>
      </c>
      <c r="G93" s="6"/>
      <c r="H93" s="6" t="s">
        <v>100</v>
      </c>
      <c r="I93" s="12" t="s">
        <v>101</v>
      </c>
    </row>
    <row r="94" spans="1:9" s="10" customFormat="1" ht="216.75">
      <c r="A94" s="1">
        <v>43374</v>
      </c>
      <c r="B94" s="4" t="str">
        <f>HYPERLINK("http://societyhumanities.as.cornell.edu/","Society for the Humanities at Cornell University")</f>
        <v>Society for the Humanities at Cornell University</v>
      </c>
      <c r="C94" s="3" t="s">
        <v>8</v>
      </c>
      <c r="D94" s="4" t="str">
        <f>HYPERLINK("http://societyhumanities.as.cornell.edu/society-fellowships","Society Fellowships")</f>
        <v>Society Fellowships</v>
      </c>
      <c r="E94" s="5" t="s">
        <v>16</v>
      </c>
      <c r="F94" s="6" t="s">
        <v>12</v>
      </c>
      <c r="G94" s="6"/>
      <c r="H94" s="7">
        <v>50000</v>
      </c>
      <c r="I94" s="12" t="s">
        <v>104</v>
      </c>
    </row>
    <row r="95" spans="1:9" s="10" customFormat="1" ht="127.5">
      <c r="A95" s="1">
        <v>43378</v>
      </c>
      <c r="B95" s="14" t="str">
        <f>HYPERLINK("http://shc.stanford.edu/","Stanford Humanities Center")</f>
        <v>Stanford Humanities Center</v>
      </c>
      <c r="C95" s="3" t="s">
        <v>8</v>
      </c>
      <c r="D95" s="17" t="s">
        <v>115</v>
      </c>
      <c r="E95" s="5" t="s">
        <v>16</v>
      </c>
      <c r="F95" s="6" t="s">
        <v>12</v>
      </c>
      <c r="G95" s="6"/>
      <c r="H95" s="6" t="s">
        <v>116</v>
      </c>
      <c r="I95" s="12" t="s">
        <v>117</v>
      </c>
    </row>
    <row r="96" spans="1:9" s="10" customFormat="1" ht="102">
      <c r="A96" s="1">
        <v>43390</v>
      </c>
      <c r="B96" s="14" t="str">
        <f>HYPERLINK("https://nationalhumanitiescenter.org","National Humanities Center")</f>
        <v>National Humanities Center</v>
      </c>
      <c r="C96" s="3" t="s">
        <v>15</v>
      </c>
      <c r="D96" s="16" t="str">
        <f>HYPERLINK("https://nationalhumanitiescenter.org/become-a-fellow/","Fellowship")</f>
        <v>Fellowship</v>
      </c>
      <c r="E96" s="5" t="s">
        <v>16</v>
      </c>
      <c r="F96" s="6" t="s">
        <v>12</v>
      </c>
      <c r="G96" s="18"/>
      <c r="H96" s="6" t="s">
        <v>65</v>
      </c>
      <c r="I96" s="12" t="s">
        <v>147</v>
      </c>
    </row>
    <row r="97" spans="1:9" s="10" customFormat="1" ht="293.25">
      <c r="A97" s="1">
        <v>43405</v>
      </c>
      <c r="B97" s="14" t="str">
        <f>HYPERLINK("http://www.aarome.org/","American Academy in Rome")</f>
        <v>American Academy in Rome</v>
      </c>
      <c r="C97" s="3" t="s">
        <v>8</v>
      </c>
      <c r="D97" s="17" t="s">
        <v>180</v>
      </c>
      <c r="E97" s="5" t="s">
        <v>16</v>
      </c>
      <c r="F97" s="6" t="s">
        <v>12</v>
      </c>
      <c r="G97" s="6"/>
      <c r="H97" s="6" t="s">
        <v>181</v>
      </c>
      <c r="I97" s="12" t="s">
        <v>182</v>
      </c>
    </row>
    <row r="98" spans="1:9" s="10" customFormat="1" ht="51">
      <c r="A98" s="1">
        <v>43405</v>
      </c>
      <c r="B98" s="14" t="str">
        <f>HYPERLINK("https://www.newberry.org/","Newberry Library")</f>
        <v>Newberry Library</v>
      </c>
      <c r="C98" s="3" t="s">
        <v>15</v>
      </c>
      <c r="D98" s="14" t="str">
        <f>HYPERLINK("http://www.newberry.org/long-term-fellowships","Long-Term Fellowships")</f>
        <v>Long-Term Fellowships</v>
      </c>
      <c r="E98" s="5" t="s">
        <v>16</v>
      </c>
      <c r="F98" s="6" t="s">
        <v>12</v>
      </c>
      <c r="G98" s="6"/>
      <c r="H98" s="7" t="s">
        <v>183</v>
      </c>
      <c r="I98" s="12" t="s">
        <v>184</v>
      </c>
    </row>
    <row r="99" spans="1:9" s="10" customFormat="1" ht="114.75">
      <c r="A99" s="1">
        <v>43405</v>
      </c>
      <c r="B99" s="14" t="str">
        <f>HYPERLINK("https://irh.wisc.edu","University of Wisconsin Institute for Research in the Humanities")</f>
        <v>University of Wisconsin Institute for Research in the Humanities</v>
      </c>
      <c r="C99" s="3" t="s">
        <v>8</v>
      </c>
      <c r="D99" s="14" t="str">
        <f>HYPERLINK("https://irh.wisc.edu/fellowships/solmsen","Solmsen Post-doctoral Fellowships")</f>
        <v>Solmsen Post-doctoral Fellowships</v>
      </c>
      <c r="E99" s="5" t="s">
        <v>16</v>
      </c>
      <c r="F99" s="6" t="s">
        <v>12</v>
      </c>
      <c r="G99" s="6"/>
      <c r="H99" s="7">
        <v>55000</v>
      </c>
      <c r="I99" s="12" t="s">
        <v>185</v>
      </c>
    </row>
    <row r="100" spans="1:9" s="10" customFormat="1" ht="127.5">
      <c r="A100" s="1">
        <v>43419</v>
      </c>
      <c r="B100" s="4" t="str">
        <f>HYPERLINK("http://www.hrc.utexas.edu/","Harry Ransom Center- UT Austin")</f>
        <v>Harry Ransom Center- UT Austin</v>
      </c>
      <c r="C100" s="3" t="s">
        <v>8</v>
      </c>
      <c r="D100" s="4" t="str">
        <f>HYPERLINK("http://www.hrc.utexas.edu/research/fellowships/","Research Fellowships ")</f>
        <v>Research Fellowships </v>
      </c>
      <c r="E100" s="5" t="s">
        <v>16</v>
      </c>
      <c r="F100" s="6" t="s">
        <v>12</v>
      </c>
      <c r="G100" s="5"/>
      <c r="H100" s="6" t="s">
        <v>226</v>
      </c>
      <c r="I100" s="12" t="s">
        <v>227</v>
      </c>
    </row>
    <row r="101" spans="1:9" s="10" customFormat="1" ht="114.75">
      <c r="A101" s="1">
        <v>43419</v>
      </c>
      <c r="B101" s="4" t="str">
        <f>HYPERLINK("http://www.huntington.org/","Huntington Library")</f>
        <v>Huntington Library</v>
      </c>
      <c r="C101" s="3" t="s">
        <v>15</v>
      </c>
      <c r="D101" s="4" t="str">
        <f>HYPERLINK("http://www.huntington.org/fellowships/","Fellowships")</f>
        <v>Fellowships</v>
      </c>
      <c r="E101" s="5" t="s">
        <v>16</v>
      </c>
      <c r="F101" s="6" t="s">
        <v>12</v>
      </c>
      <c r="G101" s="5"/>
      <c r="H101" s="6">
        <v>50000</v>
      </c>
      <c r="I101" s="12" t="s">
        <v>581</v>
      </c>
    </row>
    <row r="102" spans="1:9" s="10" customFormat="1" ht="191.25">
      <c r="A102" s="1">
        <v>43430</v>
      </c>
      <c r="B102" s="4" t="str">
        <f>HYPERLINK("https://www.amphilsoc.org","American Philosophical Society")</f>
        <v>American Philosophical Society</v>
      </c>
      <c r="C102" s="3" t="s">
        <v>15</v>
      </c>
      <c r="D102" s="4" t="str">
        <f>HYPERLINK("https://www.amphilsoc.org/grants/curatorialfellowship","Andrew W. Mellon Foundation Postdoctoral Curatorial Fellowship")</f>
        <v>Andrew W. Mellon Foundation Postdoctoral Curatorial Fellowship</v>
      </c>
      <c r="E102" s="5" t="s">
        <v>16</v>
      </c>
      <c r="F102" s="6" t="s">
        <v>12</v>
      </c>
      <c r="G102" s="6" t="s">
        <v>233</v>
      </c>
      <c r="H102" s="6" t="s">
        <v>234</v>
      </c>
      <c r="I102" s="12" t="s">
        <v>235</v>
      </c>
    </row>
    <row r="103" spans="1:9" s="10" customFormat="1" ht="127.5">
      <c r="A103" s="1">
        <v>43435</v>
      </c>
      <c r="B103" s="4" t="str">
        <f>HYPERLINK("https://www.nypl.org","New York Public Library")</f>
        <v>New York Public Library</v>
      </c>
      <c r="C103" s="3" t="s">
        <v>29</v>
      </c>
      <c r="D103" s="13" t="s">
        <v>239</v>
      </c>
      <c r="E103" s="5" t="s">
        <v>16</v>
      </c>
      <c r="F103" s="6" t="s">
        <v>12</v>
      </c>
      <c r="G103" s="6"/>
      <c r="H103" s="6" t="s">
        <v>240</v>
      </c>
      <c r="I103" s="12" t="s">
        <v>241</v>
      </c>
    </row>
    <row r="104" spans="1:9" s="10" customFormat="1" ht="76.5">
      <c r="A104" s="11">
        <v>43437</v>
      </c>
      <c r="B104" s="4" t="str">
        <f>HYPERLINK("https://www.amphilsoc.org/","American Philosophical Society")</f>
        <v>American Philosophical Society</v>
      </c>
      <c r="C104" s="3" t="s">
        <v>15</v>
      </c>
      <c r="D104" s="13" t="s">
        <v>245</v>
      </c>
      <c r="E104" s="5" t="s">
        <v>16</v>
      </c>
      <c r="F104" s="6" t="s">
        <v>246</v>
      </c>
      <c r="G104" s="6"/>
      <c r="H104" s="6"/>
      <c r="I104" s="12" t="s">
        <v>247</v>
      </c>
    </row>
    <row r="105" spans="1:9" s="10" customFormat="1" ht="63.75">
      <c r="A105" s="1">
        <v>43449</v>
      </c>
      <c r="B105" s="4" t="str">
        <f>HYPERLINK("https://www.newberry.org/","Newberry Library")</f>
        <v>Newberry Library</v>
      </c>
      <c r="C105" s="3" t="s">
        <v>15</v>
      </c>
      <c r="D105" s="13" t="s">
        <v>250</v>
      </c>
      <c r="E105" s="5" t="s">
        <v>16</v>
      </c>
      <c r="F105" s="6" t="s">
        <v>12</v>
      </c>
      <c r="G105" s="6"/>
      <c r="H105" s="6" t="s">
        <v>251</v>
      </c>
      <c r="I105" s="12" t="s">
        <v>252</v>
      </c>
    </row>
    <row r="106" spans="1:9" s="10" customFormat="1" ht="63.75">
      <c r="A106" s="1">
        <v>43472</v>
      </c>
      <c r="B106" s="4" t="str">
        <f>HYPERLINK("https://britishart.yale.edu/","Yale Center for British Art ")</f>
        <v xml:space="preserve">Yale Center for British Art </v>
      </c>
      <c r="C106" s="3"/>
      <c r="D106" s="13" t="s">
        <v>267</v>
      </c>
      <c r="E106" s="5" t="s">
        <v>16</v>
      </c>
      <c r="F106" s="6" t="s">
        <v>12</v>
      </c>
      <c r="G106" s="5"/>
      <c r="H106" s="6" t="s">
        <v>268</v>
      </c>
      <c r="I106" s="12" t="s">
        <v>269</v>
      </c>
    </row>
    <row r="107" spans="1:9" s="10" customFormat="1" ht="25.5">
      <c r="A107" s="1">
        <v>43480</v>
      </c>
      <c r="B107" s="4" t="str">
        <f>HYPERLINK("http://www.americanantiquarian.org/","American Antiquarian Society")</f>
        <v>American Antiquarian Society</v>
      </c>
      <c r="C107" s="3" t="s">
        <v>57</v>
      </c>
      <c r="D107" s="4" t="str">
        <f>HYPERLINK("http://www.americanantiquarian.org/longterm.htm","AAS-National Endowment for the Humanities Long-Term Fellowships")</f>
        <v>AAS-National Endowment for the Humanities Long-Term Fellowships</v>
      </c>
      <c r="E107" s="5" t="s">
        <v>16</v>
      </c>
      <c r="F107" s="6" t="s">
        <v>12</v>
      </c>
      <c r="G107" s="6"/>
      <c r="H107" s="6" t="s">
        <v>285</v>
      </c>
      <c r="I107" s="12" t="s">
        <v>286</v>
      </c>
    </row>
    <row r="108" spans="1:9" s="10" customFormat="1" ht="102">
      <c r="A108" s="1">
        <v>43480</v>
      </c>
      <c r="B108" s="4" t="str">
        <f>HYPERLINK("http://www.winterthur.org/","Winterthur ")</f>
        <v xml:space="preserve">Winterthur </v>
      </c>
      <c r="C108" s="3" t="s">
        <v>15</v>
      </c>
      <c r="D108" s="13" t="s">
        <v>287</v>
      </c>
      <c r="E108" s="5" t="s">
        <v>16</v>
      </c>
      <c r="F108" s="6" t="s">
        <v>12</v>
      </c>
      <c r="G108" s="6"/>
      <c r="H108" s="6" t="s">
        <v>288</v>
      </c>
      <c r="I108" s="12" t="s">
        <v>289</v>
      </c>
    </row>
    <row r="109" spans="1:9" s="10" customFormat="1" ht="127.5">
      <c r="A109" s="1">
        <v>43489</v>
      </c>
      <c r="B109" s="4" t="str">
        <f>HYPERLINK("https://www.caorc.org/","Council of American Overseas Research Center")</f>
        <v>Council of American Overseas Research Center</v>
      </c>
      <c r="C109" s="3" t="s">
        <v>15</v>
      </c>
      <c r="D109" s="13" t="str">
        <f>HYPERLINK("https://www.caorc.org/fellowships","NEH Senior Research Fellowship")</f>
        <v>NEH Senior Research Fellowship</v>
      </c>
      <c r="E109" s="5" t="s">
        <v>16</v>
      </c>
      <c r="F109" s="5" t="s">
        <v>25</v>
      </c>
      <c r="G109" s="18" t="s">
        <v>310</v>
      </c>
      <c r="H109" s="7" t="s">
        <v>311</v>
      </c>
      <c r="I109" s="12" t="s">
        <v>582</v>
      </c>
    </row>
    <row r="110" spans="1:9" s="10" customFormat="1" ht="89.25">
      <c r="A110" s="11">
        <v>43496</v>
      </c>
      <c r="B110" s="2" t="str">
        <f>HYPERLINK("https://www.sas.ac.uk/","University of London, School of Advanced Study")</f>
        <v>University of London, School of Advanced Study</v>
      </c>
      <c r="C110" s="3" t="s">
        <v>8</v>
      </c>
      <c r="D110" s="4" t="str">
        <f>HYPERLINK("http://ials.sas.ac.uk/fellowships/institute-advanced-legal-studies-visiting-research-fellowship-programme","Institute of Advanced Legal Studies Visiting Research Fellowship Programme")</f>
        <v>Institute of Advanced Legal Studies Visiting Research Fellowship Programme</v>
      </c>
      <c r="E110" s="5" t="s">
        <v>16</v>
      </c>
      <c r="F110" s="5" t="s">
        <v>25</v>
      </c>
      <c r="G110" s="6"/>
      <c r="H110" s="7" t="s">
        <v>321</v>
      </c>
      <c r="I110" s="8" t="s">
        <v>583</v>
      </c>
    </row>
    <row r="111" spans="1:9" s="10" customFormat="1" ht="102">
      <c r="A111" s="1">
        <v>43497</v>
      </c>
      <c r="B111" s="4" t="str">
        <f>HYPERLINK("https://humanities.uconn.edu/","Humanities Institute University of Connecticut")</f>
        <v>Humanities Institute University of Connecticut</v>
      </c>
      <c r="C111" s="3" t="s">
        <v>8</v>
      </c>
      <c r="D111" s="20" t="str">
        <f>HYPERLINK("https://humanities.uconn.edu/applications/","Residential Fellowships")</f>
        <v>Residential Fellowships</v>
      </c>
      <c r="E111" s="5" t="s">
        <v>16</v>
      </c>
      <c r="F111" s="6" t="s">
        <v>12</v>
      </c>
      <c r="G111" s="5" t="s">
        <v>326</v>
      </c>
      <c r="H111" s="7">
        <v>45000</v>
      </c>
      <c r="I111" s="12" t="s">
        <v>327</v>
      </c>
    </row>
    <row r="112" spans="1:9" s="10" customFormat="1" ht="89.25">
      <c r="A112" s="1">
        <v>43497</v>
      </c>
      <c r="B112" s="4" t="str">
        <f>HYPERLINK("http://www.artsci.uc.edu/","University of Cincinnati College of Arts and Sciences")</f>
        <v>University of Cincinnati College of Arts and Sciences</v>
      </c>
      <c r="C112" s="3" t="s">
        <v>8</v>
      </c>
      <c r="D112" s="13" t="s">
        <v>328</v>
      </c>
      <c r="E112" s="5" t="s">
        <v>16</v>
      </c>
      <c r="F112" s="6" t="s">
        <v>12</v>
      </c>
      <c r="G112" s="5"/>
      <c r="H112" s="6" t="s">
        <v>329</v>
      </c>
      <c r="I112" s="12" t="s">
        <v>330</v>
      </c>
    </row>
    <row r="113" spans="1:9" s="10" customFormat="1" ht="102">
      <c r="A113" s="11">
        <v>43509</v>
      </c>
      <c r="B113" s="2" t="str">
        <f>HYPERLINK("ihr.asu.edu/","Arizona State Institute for Humanities Research")</f>
        <v>Arizona State Institute for Humanities Research</v>
      </c>
      <c r="C113" s="3" t="s">
        <v>8</v>
      </c>
      <c r="D113" s="2" t="str">
        <f>HYPERLINK("https://ihr.asu.edu/fellows","Visiting Fellows Program")</f>
        <v>Visiting Fellows Program</v>
      </c>
      <c r="E113" s="5" t="s">
        <v>16</v>
      </c>
      <c r="F113" s="6" t="s">
        <v>12</v>
      </c>
      <c r="G113" s="6" t="s">
        <v>343</v>
      </c>
      <c r="H113" s="7"/>
      <c r="I113" s="12" t="s">
        <v>584</v>
      </c>
    </row>
    <row r="114" spans="1:9" s="10" customFormat="1" ht="140.25">
      <c r="A114" s="1">
        <v>43525</v>
      </c>
      <c r="B114" s="4" t="str">
        <f>HYPERLINK("https://ethics.utoronto.ca/","Center for Ethics University of Toronto")</f>
        <v>Center for Ethics University of Toronto</v>
      </c>
      <c r="C114" s="29" t="s">
        <v>8</v>
      </c>
      <c r="D114" s="41" t="s">
        <v>354</v>
      </c>
      <c r="E114" s="5" t="s">
        <v>16</v>
      </c>
      <c r="F114" s="6" t="s">
        <v>12</v>
      </c>
      <c r="G114" s="6"/>
      <c r="H114" s="6"/>
      <c r="I114" s="12" t="s">
        <v>355</v>
      </c>
    </row>
    <row r="115" spans="1:9" s="10" customFormat="1" ht="102">
      <c r="A115" s="1">
        <v>43525</v>
      </c>
      <c r="B115" s="4" t="str">
        <f>HYPERLINK("https://www.amphilsoc.org/","American Philosophical Society")</f>
        <v>American Philosophical Society</v>
      </c>
      <c r="C115" s="3" t="s">
        <v>15</v>
      </c>
      <c r="D115" s="4" t="str">
        <f>HYPERLINK("https://www.amphilsoc.org/grants/digital-humanities-fellowships","Digital Humanities Fellowship")</f>
        <v>Digital Humanities Fellowship</v>
      </c>
      <c r="E115" s="5" t="s">
        <v>16</v>
      </c>
      <c r="F115" s="6" t="s">
        <v>12</v>
      </c>
      <c r="G115" s="6"/>
      <c r="H115" s="7">
        <v>3000</v>
      </c>
      <c r="I115" s="12" t="s">
        <v>356</v>
      </c>
    </row>
    <row r="116" spans="1:9" s="10" customFormat="1" ht="102">
      <c r="A116" s="1">
        <v>43525</v>
      </c>
      <c r="B116" s="4" t="str">
        <f>HYPERLINK("https://www.amphilsoc.org/","American Philosophical Society")</f>
        <v>American Philosophical Society</v>
      </c>
      <c r="C116" s="3" t="s">
        <v>15</v>
      </c>
      <c r="D116" s="4" t="str">
        <f>HYPERLINK("https://www.amphilsoc.org/grants/library-short-term-resident-research-fellowships","Library Short Term Resident Research Fellowships")</f>
        <v>Library Short Term Resident Research Fellowships</v>
      </c>
      <c r="E116" s="5" t="s">
        <v>16</v>
      </c>
      <c r="F116" s="6" t="s">
        <v>12</v>
      </c>
      <c r="G116" s="6"/>
      <c r="H116" s="7">
        <v>3000</v>
      </c>
      <c r="I116" s="12" t="s">
        <v>357</v>
      </c>
    </row>
    <row r="117" spans="1:9" s="10" customFormat="1" ht="191.25">
      <c r="A117" s="1">
        <v>43536</v>
      </c>
      <c r="B117" s="4" t="str">
        <f>HYPERLINK("http://www.loc.gov/folklife/index.html","The American Folklife Center")</f>
        <v>The American Folklife Center</v>
      </c>
      <c r="C117" s="3" t="s">
        <v>15</v>
      </c>
      <c r="D117" s="4" t="str">
        <f>HYPERLINK("http://www.loc.gov/folklife/grants.html","Archie Green Fellowships")</f>
        <v>Archie Green Fellowships</v>
      </c>
      <c r="E117" s="5" t="s">
        <v>16</v>
      </c>
      <c r="F117" s="5" t="s">
        <v>25</v>
      </c>
      <c r="G117" s="18"/>
      <c r="H117" s="6">
        <v>35000</v>
      </c>
      <c r="I117" s="12" t="s">
        <v>371</v>
      </c>
    </row>
    <row r="118" spans="1:9" s="10" customFormat="1" ht="191.25">
      <c r="A118" s="1">
        <v>43539</v>
      </c>
      <c r="B118" s="4" t="str">
        <f>HYPERLINK("https://wp.stolaf.edu/","St. Olaf College")</f>
        <v>St. Olaf College</v>
      </c>
      <c r="C118" s="3" t="s">
        <v>8</v>
      </c>
      <c r="D118" s="4" t="str">
        <f>HYPERLINK("https://wp.stolaf.edu/kierkegaard/summer-fellows/","Summer Fellows Program for Research in Residence")</f>
        <v>Summer Fellows Program for Research in Residence</v>
      </c>
      <c r="E118" s="5" t="s">
        <v>16</v>
      </c>
      <c r="F118" s="6" t="s">
        <v>12</v>
      </c>
      <c r="G118" s="5"/>
      <c r="H118" s="6"/>
      <c r="I118" s="12" t="s">
        <v>372</v>
      </c>
    </row>
    <row r="119" spans="1:9" s="10" customFormat="1" ht="63.75">
      <c r="A119" s="1">
        <v>43565</v>
      </c>
      <c r="B119" s="4" t="str">
        <f>HYPERLINK("https://www.neh.gov/","National Endowment for the Humanities")</f>
        <v>National Endowment for the Humanities</v>
      </c>
      <c r="C119" s="3" t="s">
        <v>19</v>
      </c>
      <c r="D119" s="13" t="s">
        <v>32</v>
      </c>
      <c r="E119" s="5" t="s">
        <v>16</v>
      </c>
      <c r="F119" s="5" t="s">
        <v>25</v>
      </c>
      <c r="G119" s="18"/>
      <c r="H119" s="6" t="s">
        <v>393</v>
      </c>
      <c r="I119" s="12" t="s">
        <v>394</v>
      </c>
    </row>
    <row r="120" spans="1:9" s="10" customFormat="1" ht="165.75">
      <c r="A120" s="11">
        <v>43581</v>
      </c>
      <c r="B120" s="2" t="str">
        <f>HYPERLINK("https://www.unimelb.edu.au/","University of Melbourne")</f>
        <v>University of Melbourne</v>
      </c>
      <c r="C120" s="3" t="s">
        <v>8</v>
      </c>
      <c r="D120" s="2" t="str">
        <f>HYPERLINK("https://museumsandcollections.unimelb.edu.au/fellowships_and_awards/redmond_barry_fellowship#home","Redmond Barry Fellowship")</f>
        <v>Redmond Barry Fellowship</v>
      </c>
      <c r="E120" s="5" t="s">
        <v>16</v>
      </c>
      <c r="F120" s="6" t="s">
        <v>12</v>
      </c>
      <c r="G120" s="6"/>
      <c r="H120" s="7">
        <v>20000</v>
      </c>
      <c r="I120" s="12" t="s">
        <v>404</v>
      </c>
    </row>
    <row r="121" spans="1:9" s="10" customFormat="1" ht="165.75">
      <c r="A121" s="1">
        <v>43616</v>
      </c>
      <c r="B121" s="4" t="str">
        <f>HYPERLINK("https://library.niu.edu/ulib/","Northern Illinois University Library")</f>
        <v>Northern Illinois University Library</v>
      </c>
      <c r="C121" s="3" t="s">
        <v>8</v>
      </c>
      <c r="D121" s="20" t="str">
        <f>HYPERLINK("https://library.niu.edu/ulib/content/collections/rbsc/research/fellowships.shtml","Horatio Alger Fellowship for the Study of American Popular Culture")</f>
        <v>Horatio Alger Fellowship for the Study of American Popular Culture</v>
      </c>
      <c r="E121" s="5" t="s">
        <v>16</v>
      </c>
      <c r="F121" s="6" t="s">
        <v>12</v>
      </c>
      <c r="G121" s="6"/>
      <c r="H121" s="7">
        <v>2000</v>
      </c>
      <c r="I121" s="12" t="s">
        <v>421</v>
      </c>
    </row>
    <row r="122" spans="1:9" s="10" customFormat="1" ht="204">
      <c r="A122" s="11">
        <v>43708</v>
      </c>
      <c r="B122" s="2" t="str">
        <f>HYPERLINK("https://sydney.edu.au/","University of Sydney")</f>
        <v>University of Sydney</v>
      </c>
      <c r="C122" s="3" t="s">
        <v>8</v>
      </c>
      <c r="D122" s="2" t="str">
        <f>HYPERLINK("https://sydney.edu.au/arts/our-research/research-areas/literature-art-and-media/visiting-research-fellowship-scheme.html","Visiting Research Fellowship Scheme")</f>
        <v>Visiting Research Fellowship Scheme</v>
      </c>
      <c r="E122" s="5" t="s">
        <v>16</v>
      </c>
      <c r="F122" s="6" t="s">
        <v>12</v>
      </c>
      <c r="G122" s="6"/>
      <c r="H122" s="7"/>
      <c r="I122" s="12" t="s">
        <v>442</v>
      </c>
    </row>
    <row r="123" spans="1:9" s="10" customFormat="1" ht="102">
      <c r="A123" s="11">
        <v>43770</v>
      </c>
      <c r="B123" s="2" t="str">
        <f>HYPERLINK("https://www.gladstoneslibrary.org/","Gladstone's Library, Wales")</f>
        <v>Gladstone's Library, Wales</v>
      </c>
      <c r="C123" s="3" t="s">
        <v>29</v>
      </c>
      <c r="D123" s="2" t="str">
        <f>HYPERLINK("https://www.gladstoneslibrary.org/accommodation/scholarships-bursaries","Residential Scholarships")</f>
        <v>Residential Scholarships</v>
      </c>
      <c r="E123" s="5" t="s">
        <v>16</v>
      </c>
      <c r="F123" s="6" t="s">
        <v>12</v>
      </c>
      <c r="G123" s="6"/>
      <c r="H123" s="7"/>
      <c r="I123" s="12" t="s">
        <v>487</v>
      </c>
    </row>
    <row r="124" spans="1:9" s="10" customFormat="1" ht="114.75">
      <c r="A124" s="1">
        <v>43800</v>
      </c>
      <c r="B124" s="4" t="str">
        <f>HYPERLINK("https://airandspace.si.edu/","Smithsonian National Air and Space Museum")</f>
        <v>Smithsonian National Air and Space Museum</v>
      </c>
      <c r="C124" s="3" t="s">
        <v>19</v>
      </c>
      <c r="D124" s="4" t="str">
        <f>HYPERLINK("https://airandspace.si.edu/support/get-involved/fellowships/guggenheim","Guggenheim Fellowship")</f>
        <v>Guggenheim Fellowship</v>
      </c>
      <c r="E124" s="5" t="s">
        <v>16</v>
      </c>
      <c r="F124" s="5" t="s">
        <v>25</v>
      </c>
      <c r="G124" s="6"/>
      <c r="H124" s="6">
        <v>30000</v>
      </c>
      <c r="I124" s="12" t="s">
        <v>495</v>
      </c>
    </row>
    <row r="125" spans="1:9" s="10" customFormat="1" ht="76.5">
      <c r="A125" s="11">
        <v>43800</v>
      </c>
      <c r="B125" s="2" t="str">
        <f>HYPERLINK("https://www.virginiahumanities.org/","Virginia Foundation for the Humanities")</f>
        <v>Virginia Foundation for the Humanities</v>
      </c>
      <c r="C125" s="3" t="s">
        <v>15</v>
      </c>
      <c r="D125" s="2" t="str">
        <f>HYPERLINK("https://www.virginiahumanities.org/fellowships/","Residential Fellowships")</f>
        <v>Residential Fellowships</v>
      </c>
      <c r="E125" s="5" t="s">
        <v>16</v>
      </c>
      <c r="F125" s="6" t="s">
        <v>12</v>
      </c>
      <c r="G125" s="6"/>
      <c r="H125" s="7"/>
      <c r="I125" s="12" t="s">
        <v>496</v>
      </c>
    </row>
    <row r="126" spans="1:9" s="10" customFormat="1" ht="153">
      <c r="A126" s="1">
        <v>43922</v>
      </c>
      <c r="B126" s="4" t="str">
        <f>HYPERLINK("https://www.ethnomusicology.org/","The Society for Ethnomusicology")</f>
        <v>The Society for Ethnomusicology</v>
      </c>
      <c r="C126" s="3" t="s">
        <v>15</v>
      </c>
      <c r="D126" s="24" t="str">
        <f>HYPERLINK("https://www.ethnomusicology.org/page/Prizes_Nahumck","The Nadia and Nicholas Nahumck Fellowship")</f>
        <v>The Nadia and Nicholas Nahumck Fellowship</v>
      </c>
      <c r="E126" s="5" t="s">
        <v>16</v>
      </c>
      <c r="F126" s="5" t="s">
        <v>25</v>
      </c>
      <c r="G126" s="6"/>
      <c r="H126" s="7" t="s">
        <v>511</v>
      </c>
      <c r="I126" s="12" t="s">
        <v>512</v>
      </c>
    </row>
    <row r="127" spans="1:9" s="10" customFormat="1" ht="165.75">
      <c r="A127" s="5" t="s">
        <v>525</v>
      </c>
      <c r="B127" s="4" t="str">
        <f>HYPERLINK("https://humanitieswritlarge.duke.edu/","Humanities Writ Large Duke University")</f>
        <v>Humanities Writ Large Duke University</v>
      </c>
      <c r="C127" s="3" t="s">
        <v>8</v>
      </c>
      <c r="D127" s="4" t="str">
        <f>HYPERLINK("https://humanitieswritlarge.duke.edu/","Humanities Writ Large Visiting Faculty Fellows")</f>
        <v>Humanities Writ Large Visiting Faculty Fellows</v>
      </c>
      <c r="E127" s="5" t="s">
        <v>16</v>
      </c>
      <c r="F127" s="6" t="s">
        <v>12</v>
      </c>
      <c r="G127" s="18"/>
      <c r="H127" s="6"/>
      <c r="I127" s="12" t="s">
        <v>526</v>
      </c>
    </row>
    <row r="128" spans="1:9" s="10" customFormat="1" ht="89.25">
      <c r="A128" s="5" t="s">
        <v>542</v>
      </c>
      <c r="B128" s="2" t="str">
        <f>HYPERLINK("https://www.hkbu.edu.hk/eng/main/index.jsp","Lam Institute for East-West Studies")</f>
        <v>Lam Institute for East-West Studies</v>
      </c>
      <c r="C128" s="3" t="s">
        <v>8</v>
      </c>
      <c r="D128" s="2" t="str">
        <f>HYPERLINK("http://lewi.hkbu.edu.hk/scholar-in-residence-programme/","Scholar-in-Residence-Programme")</f>
        <v>Scholar-in-Residence-Programme</v>
      </c>
      <c r="E128" s="5" t="s">
        <v>16</v>
      </c>
      <c r="F128" s="6" t="s">
        <v>12</v>
      </c>
      <c r="G128" s="6"/>
      <c r="H128" s="7"/>
      <c r="I128" s="12" t="s">
        <v>543</v>
      </c>
    </row>
    <row r="129" spans="1:11" s="10" customFormat="1" ht="114.75">
      <c r="A129" s="5" t="s">
        <v>555</v>
      </c>
      <c r="B129" s="2" t="str">
        <f>HYPERLINK("https://www.sas.ac.uk/","Univeristy of London, School of Advanced Study")</f>
        <v>Univeristy of London, School of Advanced Study</v>
      </c>
      <c r="C129" s="3" t="s">
        <v>8</v>
      </c>
      <c r="D129" s="2" t="str">
        <f>HYPERLINK("https://www.sas.ac.uk/support-research/fellowships","Institute/Consortium Fellowships")</f>
        <v>Institute/Consortium Fellowships</v>
      </c>
      <c r="E129" s="5" t="s">
        <v>16</v>
      </c>
      <c r="F129" s="5" t="s">
        <v>25</v>
      </c>
      <c r="G129" s="6"/>
      <c r="H129" s="7"/>
      <c r="I129" s="12" t="s">
        <v>556</v>
      </c>
    </row>
    <row r="130" spans="1:11" s="10" customFormat="1" ht="255">
      <c r="A130" s="1">
        <v>43358</v>
      </c>
      <c r="B130" s="14" t="str">
        <f>HYPERLINK("http://www.gei.de/en/home.html","Georg Eckert Institute")</f>
        <v>Georg Eckert Institute</v>
      </c>
      <c r="C130" s="3" t="s">
        <v>15</v>
      </c>
      <c r="D130" s="17" t="s">
        <v>80</v>
      </c>
      <c r="E130" s="5" t="s">
        <v>81</v>
      </c>
      <c r="F130" s="6" t="s">
        <v>12</v>
      </c>
      <c r="G130" s="6"/>
      <c r="H130" s="27" t="s">
        <v>82</v>
      </c>
      <c r="I130" s="12" t="s">
        <v>83</v>
      </c>
      <c r="K130" s="66" t="s">
        <v>561</v>
      </c>
    </row>
    <row r="131" spans="1:11" s="10" customFormat="1" ht="89.25">
      <c r="A131" s="1">
        <v>43405</v>
      </c>
      <c r="B131" s="14" t="str">
        <f>HYPERLINK("https://naeducation.org/","National Academy of Education")</f>
        <v>National Academy of Education</v>
      </c>
      <c r="C131" s="3" t="s">
        <v>15</v>
      </c>
      <c r="D131" s="14" t="str">
        <f>HYPERLINK("https://naeducation.org/naedspencer-postdoctoral-fellowship-guidelines/","Postdoctoral Fellowship")</f>
        <v>Postdoctoral Fellowship</v>
      </c>
      <c r="E131" s="5" t="s">
        <v>205</v>
      </c>
      <c r="F131" s="5" t="s">
        <v>25</v>
      </c>
      <c r="G131" s="6" t="s">
        <v>92</v>
      </c>
      <c r="H131" s="6" t="s">
        <v>206</v>
      </c>
      <c r="I131" s="12" t="s">
        <v>207</v>
      </c>
      <c r="K131"/>
    </row>
    <row r="132" spans="1:11" s="10" customFormat="1" ht="89.25">
      <c r="A132" s="1">
        <v>43617</v>
      </c>
      <c r="B132" s="4" t="str">
        <f>HYPERLINK("https://clags.org/","CLAGS")</f>
        <v>CLAGS</v>
      </c>
      <c r="C132" s="3" t="s">
        <v>15</v>
      </c>
      <c r="D132" s="4" t="str">
        <f>HYPERLINK("https://clags.org/fellowships-and-awards3/#clagsfellowship","CLAGS Fellowship Award")</f>
        <v>CLAGS Fellowship Award</v>
      </c>
      <c r="E132" s="68" t="s">
        <v>18</v>
      </c>
      <c r="F132" s="5" t="s">
        <v>25</v>
      </c>
      <c r="G132" s="6"/>
      <c r="H132" s="7">
        <v>2000</v>
      </c>
      <c r="I132" s="67" t="s">
        <v>423</v>
      </c>
      <c r="K132" s="65"/>
    </row>
    <row r="133" spans="1:11" s="10" customFormat="1" ht="63.75">
      <c r="A133" s="1">
        <v>43109</v>
      </c>
      <c r="B133" s="2" t="str">
        <f>HYPERLINK("https://www.sas.ac.uk/","University of London, School of Advanced Study")</f>
        <v>University of London, School of Advanced Study</v>
      </c>
      <c r="C133" s="3" t="s">
        <v>8</v>
      </c>
      <c r="D133" s="4" t="str">
        <f>HYPERLINK("https://www.sas.ac.uk/support-research/fellowships/externally-funded-fellowships/british-academy-visiting-fellowships","British Academy Visiting Fellowships")</f>
        <v>British Academy Visiting Fellowships</v>
      </c>
      <c r="E133" s="5" t="s">
        <v>18</v>
      </c>
      <c r="F133" s="5" t="s">
        <v>25</v>
      </c>
      <c r="G133" s="6"/>
      <c r="H133" s="7" t="s">
        <v>9</v>
      </c>
      <c r="I133" s="8" t="s">
        <v>10</v>
      </c>
    </row>
    <row r="134" spans="1:11" s="10" customFormat="1" ht="165.75">
      <c r="A134" s="61">
        <v>43191</v>
      </c>
      <c r="B134" s="2" t="str">
        <f>HYPERLINK("https://www.paris-iea.fr/en/","Institut D'Etudes Avancees De Paris")</f>
        <v>Institut D'Etudes Avancees De Paris</v>
      </c>
      <c r="C134" s="3" t="s">
        <v>8</v>
      </c>
      <c r="D134" s="2" t="str">
        <f>HYPERLINK("https://www.paris-iea.fr/en/apply/calls-for-applications/appel-non-thematique-pour-des-residences-en-2019-2020","Fellowships")</f>
        <v>Fellowships</v>
      </c>
      <c r="E134" s="5" t="s">
        <v>18</v>
      </c>
      <c r="F134" s="5" t="s">
        <v>25</v>
      </c>
      <c r="G134" s="6"/>
      <c r="H134" s="6"/>
      <c r="I134" s="12" t="s">
        <v>607</v>
      </c>
    </row>
    <row r="135" spans="1:11" s="10" customFormat="1" ht="140.25">
      <c r="A135" s="1">
        <v>43251</v>
      </c>
      <c r="B135" s="4" t="str">
        <f>HYPERLINK("https://www.nypl.org","New York Public Library")</f>
        <v>New York Public Library</v>
      </c>
      <c r="C135" s="3" t="s">
        <v>29</v>
      </c>
      <c r="D135" s="4" t="str">
        <f>HYPERLINK("https://www.nypl.org/help/about-nypl/fellowships-institutes/martin-duberman-visiting-fellowship","Martin Duberman Visiting Fellowship")</f>
        <v>Martin Duberman Visiting Fellowship</v>
      </c>
      <c r="E135" s="5" t="s">
        <v>18</v>
      </c>
      <c r="F135" s="6" t="s">
        <v>12</v>
      </c>
      <c r="G135" s="6"/>
      <c r="H135" s="7">
        <v>20000</v>
      </c>
      <c r="I135" s="12" t="s">
        <v>37</v>
      </c>
    </row>
    <row r="136" spans="1:11" s="10" customFormat="1" ht="38.25">
      <c r="A136" s="1">
        <v>43286</v>
      </c>
      <c r="B136" s="4" t="str">
        <f>HYPERLINK("http://wtgrantfoundation.org","William T Grant Foundation")</f>
        <v>William T Grant Foundation</v>
      </c>
      <c r="C136" s="3" t="s">
        <v>15</v>
      </c>
      <c r="D136" s="13" t="s">
        <v>53</v>
      </c>
      <c r="E136" s="5" t="s">
        <v>18</v>
      </c>
      <c r="F136" s="5" t="s">
        <v>25</v>
      </c>
      <c r="G136" s="5"/>
      <c r="H136" s="6"/>
      <c r="I136" s="12" t="s">
        <v>608</v>
      </c>
    </row>
    <row r="137" spans="1:11" s="10" customFormat="1" ht="114.75">
      <c r="A137" s="1">
        <v>43360</v>
      </c>
      <c r="B137" s="4" t="str">
        <f>HYPERLINK("https://ndias.nd.edu/","Notre Dame Institute for Advanced Study")</f>
        <v>Notre Dame Institute for Advanced Study</v>
      </c>
      <c r="C137" s="3" t="s">
        <v>8</v>
      </c>
      <c r="D137" s="13" t="s">
        <v>87</v>
      </c>
      <c r="E137" s="5" t="s">
        <v>18</v>
      </c>
      <c r="F137" s="6" t="s">
        <v>12</v>
      </c>
      <c r="G137" s="6"/>
      <c r="H137" s="6" t="s">
        <v>88</v>
      </c>
      <c r="I137" s="12" t="s">
        <v>89</v>
      </c>
    </row>
    <row r="138" spans="1:11" s="10" customFormat="1" ht="114.75">
      <c r="A138" s="1">
        <v>43362</v>
      </c>
      <c r="B138" s="4" t="str">
        <f>HYPERLINK("https://www.gf.org/","John Simon Guggenheim Memorial Foundation")</f>
        <v>John Simon Guggenheim Memorial Foundation</v>
      </c>
      <c r="C138" s="3" t="s">
        <v>15</v>
      </c>
      <c r="D138" s="13" t="s">
        <v>25</v>
      </c>
      <c r="E138" s="5" t="s">
        <v>18</v>
      </c>
      <c r="F138" s="5" t="s">
        <v>25</v>
      </c>
      <c r="G138" s="6"/>
      <c r="H138" s="6"/>
      <c r="I138" s="12" t="s">
        <v>609</v>
      </c>
    </row>
    <row r="139" spans="1:11" s="10" customFormat="1" ht="216.75">
      <c r="A139" s="1">
        <v>43369</v>
      </c>
      <c r="B139" s="4" t="str">
        <f>HYPERLINK("https://www.acls.org/","American Council of Learned Societies")</f>
        <v>American Council of Learned Societies</v>
      </c>
      <c r="C139" s="3" t="s">
        <v>15</v>
      </c>
      <c r="D139" s="4" t="str">
        <f>HYPERLINK("https://www.acls.org/Fellowship-and-Grant-Programs/Competitions-and-Deadlines","ACLS Fellowships")</f>
        <v>ACLS Fellowships</v>
      </c>
      <c r="E139" s="5" t="s">
        <v>18</v>
      </c>
      <c r="F139" s="5" t="s">
        <v>25</v>
      </c>
      <c r="G139" s="6" t="s">
        <v>93</v>
      </c>
      <c r="H139" s="6" t="s">
        <v>94</v>
      </c>
      <c r="I139" s="12" t="s">
        <v>95</v>
      </c>
    </row>
    <row r="140" spans="1:11" s="10" customFormat="1" ht="153">
      <c r="A140" s="1">
        <v>43378</v>
      </c>
      <c r="B140" s="4" t="str">
        <f>HYPERLINK("http://www.americanacademy.de","American Academy in Berlin")</f>
        <v>American Academy in Berlin</v>
      </c>
      <c r="C140" s="3" t="s">
        <v>8</v>
      </c>
      <c r="D140" s="13" t="s">
        <v>118</v>
      </c>
      <c r="E140" s="5" t="s">
        <v>18</v>
      </c>
      <c r="F140" s="6" t="s">
        <v>12</v>
      </c>
      <c r="G140" s="6"/>
      <c r="H140" s="6" t="s">
        <v>119</v>
      </c>
      <c r="I140" s="12" t="s">
        <v>120</v>
      </c>
    </row>
    <row r="141" spans="1:11" s="10" customFormat="1" ht="191.25">
      <c r="A141" s="1">
        <v>43379</v>
      </c>
      <c r="B141" s="4" t="str">
        <f>HYPERLINK("https://www.obama.org/","Obama Foundation")</f>
        <v>Obama Foundation</v>
      </c>
      <c r="C141" s="3" t="s">
        <v>15</v>
      </c>
      <c r="D141" s="13" t="s">
        <v>25</v>
      </c>
      <c r="E141" s="5" t="s">
        <v>18</v>
      </c>
      <c r="F141" s="5" t="s">
        <v>25</v>
      </c>
      <c r="G141" s="6"/>
      <c r="H141" s="6" t="s">
        <v>122</v>
      </c>
      <c r="I141" s="12" t="s">
        <v>610</v>
      </c>
    </row>
    <row r="142" spans="1:11" s="10" customFormat="1" ht="127.5">
      <c r="A142" s="1">
        <v>43390</v>
      </c>
      <c r="B142" s="14" t="str">
        <f>HYPERLINK("http://camargofoundation.org/","Camargo Foundation")</f>
        <v>Camargo Foundation</v>
      </c>
      <c r="C142" s="3" t="s">
        <v>15</v>
      </c>
      <c r="D142" s="33" t="str">
        <f>HYPERLINK("http://camargofoundation.org/programs/camargo-core-program/","Core Program in Cassis, France")</f>
        <v>Core Program in Cassis, France</v>
      </c>
      <c r="E142" s="5" t="s">
        <v>18</v>
      </c>
      <c r="F142" s="6" t="s">
        <v>12</v>
      </c>
      <c r="G142" s="5"/>
      <c r="H142" s="5" t="s">
        <v>148</v>
      </c>
      <c r="I142" s="21" t="s">
        <v>149</v>
      </c>
    </row>
    <row r="143" spans="1:11" s="10" customFormat="1" ht="191.25">
      <c r="A143" s="1">
        <v>43398</v>
      </c>
      <c r="B143" s="4" t="str">
        <f>HYPERLINK("https://www.eui.eu","European University Institute")</f>
        <v>European University Institute</v>
      </c>
      <c r="C143" s="3" t="s">
        <v>8</v>
      </c>
      <c r="D143" s="20" t="str">
        <f>HYPERLINK("https://www.eui.eu/ProgrammesAndFellowships/MaxWeberProgramme/AboutTheProgramme/AboutTheMWP","Max Weber Programme for Postdoctoral Studies Fellowship")</f>
        <v>Max Weber Programme for Postdoctoral Studies Fellowship</v>
      </c>
      <c r="E143" s="5" t="s">
        <v>18</v>
      </c>
      <c r="F143" s="6" t="s">
        <v>12</v>
      </c>
      <c r="G143" s="6" t="s">
        <v>158</v>
      </c>
      <c r="H143" s="25" t="s">
        <v>159</v>
      </c>
      <c r="I143" s="12" t="s">
        <v>160</v>
      </c>
    </row>
    <row r="144" spans="1:11" s="10" customFormat="1" ht="216.75">
      <c r="A144" s="1">
        <v>43399</v>
      </c>
      <c r="B144" s="4" t="str">
        <f>HYPERLINK("http://heymancenter.org/","Columbia Institute for Ideas and Imagination (II&amp;I)")</f>
        <v>Columbia Institute for Ideas and Imagination (II&amp;I)</v>
      </c>
      <c r="C144" s="3" t="s">
        <v>8</v>
      </c>
      <c r="D144" s="4" t="str">
        <f>HYPERLINK("http://heymancenter.org/about/columbia-institute-for-ideas-and-imagination-fellowship/","Faculty Fellowship")</f>
        <v>Faculty Fellowship</v>
      </c>
      <c r="E144" s="5" t="s">
        <v>18</v>
      </c>
      <c r="F144" s="6" t="s">
        <v>12</v>
      </c>
      <c r="G144" s="6"/>
      <c r="H144" s="7">
        <v>75000</v>
      </c>
      <c r="I144" s="12" t="s">
        <v>161</v>
      </c>
    </row>
    <row r="145" spans="1:9" s="10" customFormat="1" ht="178.5">
      <c r="A145" s="1">
        <v>43405</v>
      </c>
      <c r="B145" s="4" t="str">
        <f>HYPERLINK("http://invention.si.edu/","Lemelson Center for the Study of Invention and Innovation")</f>
        <v>Lemelson Center for the Study of Invention and Innovation</v>
      </c>
      <c r="C145" s="3" t="s">
        <v>19</v>
      </c>
      <c r="D145" s="13" t="str">
        <f>HYPERLINK("http://invention.si.edu/arthur-molella-distinguished-fellowship","Arthur Molella Distinguished Fellowship")</f>
        <v>Arthur Molella Distinguished Fellowship</v>
      </c>
      <c r="E145" s="5" t="s">
        <v>18</v>
      </c>
      <c r="F145" s="5" t="s">
        <v>25</v>
      </c>
      <c r="G145" s="6"/>
      <c r="H145" s="6">
        <v>35000</v>
      </c>
      <c r="I145" s="12" t="s">
        <v>585</v>
      </c>
    </row>
    <row r="146" spans="1:9" s="10" customFormat="1" ht="127.5">
      <c r="A146" s="1">
        <v>43405</v>
      </c>
      <c r="B146" s="4" t="str">
        <f>HYPERLINK("https://www.si.edu/","Smithsonian Institution")</f>
        <v>Smithsonian Institution</v>
      </c>
      <c r="C146" s="3" t="s">
        <v>19</v>
      </c>
      <c r="D146" s="4" t="str">
        <f>HYPERLINK("https://www.smithsonianofi.com/fellowship-opportunities/mpala-postdoctoral-fellowship/","Mpala Postdoctoral and Senior Fellowship")</f>
        <v>Mpala Postdoctoral and Senior Fellowship</v>
      </c>
      <c r="E146" s="5" t="s">
        <v>18</v>
      </c>
      <c r="F146" s="6" t="s">
        <v>12</v>
      </c>
      <c r="G146" s="6"/>
      <c r="H146" s="6" t="s">
        <v>194</v>
      </c>
      <c r="I146" s="12" t="s">
        <v>195</v>
      </c>
    </row>
    <row r="147" spans="1:9" s="10" customFormat="1" ht="127.5">
      <c r="A147" s="1">
        <v>43406</v>
      </c>
      <c r="B147" s="4" t="str">
        <f>HYPERLINK("http://fitchfoundation.org/","Fitch Foundation")</f>
        <v>Fitch Foundation</v>
      </c>
      <c r="C147" s="3" t="s">
        <v>15</v>
      </c>
      <c r="D147" s="13" t="s">
        <v>211</v>
      </c>
      <c r="E147" s="5" t="s">
        <v>18</v>
      </c>
      <c r="F147" s="5" t="s">
        <v>25</v>
      </c>
      <c r="G147" s="6"/>
      <c r="H147" s="6"/>
      <c r="I147" s="12" t="s">
        <v>212</v>
      </c>
    </row>
    <row r="148" spans="1:9" s="10" customFormat="1" ht="89.25">
      <c r="A148" s="1">
        <v>43409</v>
      </c>
      <c r="B148" s="4" t="str">
        <f>HYPERLINK("https://uchv.princeton.edu","University Center for Human Values-- Princeton")</f>
        <v>University Center for Human Values-- Princeton</v>
      </c>
      <c r="C148" s="3" t="s">
        <v>8</v>
      </c>
      <c r="D148" s="13" t="s">
        <v>217</v>
      </c>
      <c r="E148" s="5" t="s">
        <v>18</v>
      </c>
      <c r="F148" s="6" t="s">
        <v>12</v>
      </c>
      <c r="G148" s="6"/>
      <c r="H148" s="6" t="s">
        <v>218</v>
      </c>
      <c r="I148" s="12" t="s">
        <v>219</v>
      </c>
    </row>
    <row r="149" spans="1:9" s="10" customFormat="1" ht="178.5">
      <c r="A149" s="1">
        <v>43419</v>
      </c>
      <c r="B149" s="4" t="str">
        <f>HYPERLINK("http://www.huntington.org/","Huntington")</f>
        <v>Huntington</v>
      </c>
      <c r="C149" s="3" t="s">
        <v>29</v>
      </c>
      <c r="D149" s="13" t="s">
        <v>32</v>
      </c>
      <c r="E149" s="5" t="s">
        <v>18</v>
      </c>
      <c r="F149" s="6" t="s">
        <v>12</v>
      </c>
      <c r="G149" s="6"/>
      <c r="H149" s="6" t="s">
        <v>228</v>
      </c>
      <c r="I149" s="12" t="s">
        <v>230</v>
      </c>
    </row>
    <row r="150" spans="1:9" s="10" customFormat="1" ht="153">
      <c r="A150" s="1">
        <v>43467</v>
      </c>
      <c r="B150" s="4" t="str">
        <f>HYPERLINK("http://www.berggruen.org/","Berggruen Institute")</f>
        <v>Berggruen Institute</v>
      </c>
      <c r="C150" s="3" t="s">
        <v>8</v>
      </c>
      <c r="D150" s="4" t="str">
        <f>HYPERLINK("http://www.berggruen.org/fellowship-program/","Berggruen Fellowships at USC Dornsife")</f>
        <v>Berggruen Fellowships at USC Dornsife</v>
      </c>
      <c r="E150" s="5" t="s">
        <v>18</v>
      </c>
      <c r="F150" s="6" t="s">
        <v>12</v>
      </c>
      <c r="G150" s="6"/>
      <c r="H150" s="6"/>
      <c r="I150" s="12" t="s">
        <v>256</v>
      </c>
    </row>
    <row r="151" spans="1:9" s="10" customFormat="1" ht="153">
      <c r="A151" s="11">
        <v>43476</v>
      </c>
      <c r="B151" s="2" t="str">
        <f>HYPERLINK("http://www.nus.edu.sg/","National University Singapore")</f>
        <v>National University Singapore</v>
      </c>
      <c r="C151" s="3" t="s">
        <v>8</v>
      </c>
      <c r="D151" s="2" t="str">
        <f>HYPERLINK("http://www.fas.nus.edu.sg/visit/vss.html","Isaac Manasseh Meyer Fellowship")</f>
        <v>Isaac Manasseh Meyer Fellowship</v>
      </c>
      <c r="E151" s="5" t="s">
        <v>18</v>
      </c>
      <c r="F151" s="6" t="s">
        <v>12</v>
      </c>
      <c r="G151" s="6"/>
      <c r="H151" s="7"/>
      <c r="I151" s="12" t="s">
        <v>586</v>
      </c>
    </row>
    <row r="152" spans="1:9" s="10" customFormat="1" ht="89.25">
      <c r="A152" s="1">
        <v>43480</v>
      </c>
      <c r="B152" s="4" t="str">
        <f>HYPERLINK("http://www.archives.nysed.gov/","New York State Archives")</f>
        <v>New York State Archives</v>
      </c>
      <c r="C152" s="3" t="s">
        <v>19</v>
      </c>
      <c r="D152" s="4" t="str">
        <f>HYPERLINK("http://www.archives.nysed.gov/research/hackman-research-residency","Larry J. Hackman Research Residency Program")</f>
        <v>Larry J. Hackman Research Residency Program</v>
      </c>
      <c r="E152" s="5" t="s">
        <v>18</v>
      </c>
      <c r="F152" s="6" t="s">
        <v>12</v>
      </c>
      <c r="G152" s="5"/>
      <c r="H152" s="7">
        <v>250</v>
      </c>
      <c r="I152" s="67" t="s">
        <v>295</v>
      </c>
    </row>
    <row r="153" spans="1:9" s="10" customFormat="1" ht="140.25">
      <c r="A153" s="1">
        <v>43489</v>
      </c>
      <c r="B153" s="4" t="str">
        <f>HYPERLINK("https://www.caorc.org/","Council of American Overseas Research Center")</f>
        <v>Council of American Overseas Research Center</v>
      </c>
      <c r="C153" s="3" t="s">
        <v>15</v>
      </c>
      <c r="D153" s="3" t="s">
        <v>308</v>
      </c>
      <c r="E153" s="5" t="s">
        <v>18</v>
      </c>
      <c r="F153" s="5" t="s">
        <v>25</v>
      </c>
      <c r="G153" s="18"/>
      <c r="H153" s="7" t="s">
        <v>309</v>
      </c>
      <c r="I153" s="12" t="s">
        <v>587</v>
      </c>
    </row>
    <row r="154" spans="1:9" s="10" customFormat="1" ht="140.25">
      <c r="A154" s="1">
        <v>43497</v>
      </c>
      <c r="B154" s="4" t="str">
        <f>HYPERLINK("https://www.acorjordan.org/","American Center of Oriental Research")</f>
        <v>American Center of Oriental Research</v>
      </c>
      <c r="C154" s="3" t="s">
        <v>19</v>
      </c>
      <c r="D154" s="20" t="str">
        <f>HYPERLINK("https://www.acorjordan.org/neh-fellowship/","Research Fellowships")</f>
        <v>Research Fellowships</v>
      </c>
      <c r="E154" s="5" t="s">
        <v>58</v>
      </c>
      <c r="F154" s="6" t="s">
        <v>12</v>
      </c>
      <c r="G154" s="18"/>
      <c r="H154" s="7">
        <v>25200</v>
      </c>
      <c r="I154" s="12" t="s">
        <v>333</v>
      </c>
    </row>
    <row r="155" spans="1:9" s="10" customFormat="1" ht="153">
      <c r="A155" s="1">
        <v>43511</v>
      </c>
      <c r="B155" s="4" t="str">
        <f>HYPERLINK("https://www.loc.gov/","Library of Congress John W. Kluge Center")</f>
        <v>Library of Congress John W. Kluge Center</v>
      </c>
      <c r="C155" s="3" t="s">
        <v>19</v>
      </c>
      <c r="D155" s="20" t="str">
        <f>HYPERLINK("https://www.loc.gov/programs/john-w-kluge-center/chairs-fellowships/fellowships/philip-lee-phillips/","Philip Lee Phillips Society Fellowship")</f>
        <v>Philip Lee Phillips Society Fellowship</v>
      </c>
      <c r="E155" s="5" t="s">
        <v>18</v>
      </c>
      <c r="F155" s="6" t="s">
        <v>12</v>
      </c>
      <c r="G155" s="6"/>
      <c r="H155" s="6">
        <v>11500</v>
      </c>
      <c r="I155" s="67" t="s">
        <v>344</v>
      </c>
    </row>
    <row r="156" spans="1:9" s="10" customFormat="1" ht="191.25">
      <c r="A156" s="1">
        <v>43513</v>
      </c>
      <c r="B156" s="13" t="str">
        <f>HYPERLINK("http://www.brocher.ch/en/?","Fondation Brocher")</f>
        <v>Fondation Brocher</v>
      </c>
      <c r="C156" s="3" t="s">
        <v>15</v>
      </c>
      <c r="D156" s="13" t="str">
        <f>HYPERLINK("http://www.brocher.ch/calls/","Visiting Researcher Residency")</f>
        <v>Visiting Researcher Residency</v>
      </c>
      <c r="E156" s="5" t="s">
        <v>18</v>
      </c>
      <c r="F156" s="6" t="s">
        <v>12</v>
      </c>
      <c r="G156" s="5"/>
      <c r="H156" s="6" t="s">
        <v>350</v>
      </c>
      <c r="I156" s="12" t="s">
        <v>588</v>
      </c>
    </row>
    <row r="157" spans="1:9" s="10" customFormat="1" ht="102">
      <c r="A157" s="1">
        <v>43516</v>
      </c>
      <c r="B157" s="4" t="str">
        <f>HYPERLINK("https://www.sas.ac.uk/","Univeristy of London, School of Advanced Study")</f>
        <v>Univeristy of London, School of Advanced Study</v>
      </c>
      <c r="C157" s="3" t="s">
        <v>8</v>
      </c>
      <c r="D157" s="4" t="str">
        <f>HYPERLINK("https://www.sas.ac.uk/support-research/fellowships/externally-funded-fellowships/newton-international-fellowships","Newton International Fellowships")</f>
        <v>Newton International Fellowships</v>
      </c>
      <c r="E157" s="5" t="s">
        <v>18</v>
      </c>
      <c r="F157" s="6" t="s">
        <v>12</v>
      </c>
      <c r="G157" s="6"/>
      <c r="H157" s="7" t="s">
        <v>351</v>
      </c>
      <c r="I157" s="8" t="s">
        <v>352</v>
      </c>
    </row>
    <row r="158" spans="1:9" s="10" customFormat="1" ht="216.75">
      <c r="A158" s="1">
        <v>43556</v>
      </c>
      <c r="B158" s="4" t="str">
        <f>HYPERLINK("https://georgianpapers-test.wm.edu/","King's College London Georgian Papers Programme")</f>
        <v>King's College London Georgian Papers Programme</v>
      </c>
      <c r="C158" s="3" t="s">
        <v>8</v>
      </c>
      <c r="D158" s="13" t="str">
        <f>HYPERLINK("https://georgianpapersprogramme.com/fellowships/kings-college-london/","Royal Archives Fellowships")</f>
        <v>Royal Archives Fellowships</v>
      </c>
      <c r="E158" s="5" t="s">
        <v>18</v>
      </c>
      <c r="F158" s="6" t="s">
        <v>12</v>
      </c>
      <c r="G158" s="18"/>
      <c r="H158" s="6"/>
      <c r="I158" s="12" t="s">
        <v>384</v>
      </c>
    </row>
    <row r="159" spans="1:9" s="10" customFormat="1" ht="242.25">
      <c r="A159" s="1">
        <v>43557</v>
      </c>
      <c r="B159" s="4" t="str">
        <f>HYPERLINK("http://www.quaibranly.fr","Musee de Quai Branly")</f>
        <v>Musee de Quai Branly</v>
      </c>
      <c r="C159" s="3" t="s">
        <v>29</v>
      </c>
      <c r="D159" s="13" t="s">
        <v>386</v>
      </c>
      <c r="E159" s="5" t="s">
        <v>18</v>
      </c>
      <c r="F159" s="6" t="s">
        <v>387</v>
      </c>
      <c r="G159" s="6" t="s">
        <v>388</v>
      </c>
      <c r="H159" s="48" t="s">
        <v>389</v>
      </c>
      <c r="I159" s="12" t="s">
        <v>390</v>
      </c>
    </row>
    <row r="160" spans="1:9" s="10" customFormat="1" ht="89.25">
      <c r="A160" s="11">
        <v>43570</v>
      </c>
      <c r="B160" s="2" t="str">
        <f>HYPERLINK("https://nias.knaw.nl/","Netherlands Institute for Advanced Study ")</f>
        <v xml:space="preserve">Netherlands Institute for Advanced Study </v>
      </c>
      <c r="C160" s="3" t="s">
        <v>8</v>
      </c>
      <c r="D160" s="2" t="str">
        <f>HYPERLINK("https://nias.knaw.nl/fellowships/individual-fellowship-applicants-dutch-affiliation/","Fellowships")</f>
        <v>Fellowships</v>
      </c>
      <c r="E160" s="5" t="s">
        <v>18</v>
      </c>
      <c r="F160" s="5" t="s">
        <v>25</v>
      </c>
      <c r="G160" s="6"/>
      <c r="H160" s="7"/>
      <c r="I160" s="12" t="s">
        <v>395</v>
      </c>
    </row>
    <row r="161" spans="1:9" s="10" customFormat="1" ht="153">
      <c r="A161" s="1">
        <v>43581</v>
      </c>
      <c r="B161" s="14" t="str">
        <f>HYPERLINK("http://www.nla.gov.au/","National Library of Australia")</f>
        <v>National Library of Australia</v>
      </c>
      <c r="C161" s="6" t="s">
        <v>29</v>
      </c>
      <c r="D161" s="44" t="str">
        <f>HYPERLINK("http://www.nla.gov.au/awards-and-grants/fellowships-and-scholarships/national-library-of-australia-fellowships/application-guidelines","National Library of Australia Fellowships")</f>
        <v>National Library of Australia Fellowships</v>
      </c>
      <c r="E161" s="5" t="s">
        <v>18</v>
      </c>
      <c r="F161" s="6" t="s">
        <v>12</v>
      </c>
      <c r="G161" s="6"/>
      <c r="H161" s="6" t="s">
        <v>405</v>
      </c>
      <c r="I161" s="12" t="s">
        <v>406</v>
      </c>
    </row>
    <row r="162" spans="1:9" s="10" customFormat="1" ht="76.5">
      <c r="A162" s="1">
        <v>43586</v>
      </c>
      <c r="B162" s="4" t="str">
        <f>HYPERLINK("https://www.rockefellerfoundation.org/","Rockefeller Foundation")</f>
        <v>Rockefeller Foundation</v>
      </c>
      <c r="C162" s="3" t="s">
        <v>15</v>
      </c>
      <c r="D162" s="20" t="str">
        <f>HYPERLINK("https://bellagiocenter.fluidreview.com/","Bellagio Academic Writing Residency")</f>
        <v>Bellagio Academic Writing Residency</v>
      </c>
      <c r="E162" s="5" t="s">
        <v>18</v>
      </c>
      <c r="F162" s="6" t="s">
        <v>12</v>
      </c>
      <c r="G162" s="6"/>
      <c r="H162" s="6"/>
      <c r="I162" s="12" t="s">
        <v>408</v>
      </c>
    </row>
    <row r="163" spans="1:9" s="10" customFormat="1" ht="191.25">
      <c r="A163" s="1">
        <v>43588</v>
      </c>
      <c r="B163" s="4" t="str">
        <f>HYPERLINK("https://www.templeton.org/","John Templeton Foundation")</f>
        <v>John Templeton Foundation</v>
      </c>
      <c r="C163" s="5" t="s">
        <v>15</v>
      </c>
      <c r="D163" s="13" t="str">
        <f>HYPERLINK("https://www.templeton.org/internal-competiton-fund/academic-cross-training-fellowship-2019","Academic Cross-Training Fellowship")</f>
        <v>Academic Cross-Training Fellowship</v>
      </c>
      <c r="E163" s="5" t="s">
        <v>18</v>
      </c>
      <c r="F163" s="5" t="s">
        <v>25</v>
      </c>
      <c r="G163" s="6"/>
      <c r="H163" s="6" t="s">
        <v>414</v>
      </c>
      <c r="I163" s="12" t="s">
        <v>415</v>
      </c>
    </row>
    <row r="164" spans="1:9" s="10" customFormat="1" ht="140.25">
      <c r="A164" s="1">
        <v>43600</v>
      </c>
      <c r="B164" s="4" t="str">
        <f>HYPERLINK("https://www.einsteinforum.de/","Einstein Forum")</f>
        <v>Einstein Forum</v>
      </c>
      <c r="C164" s="3" t="s">
        <v>15</v>
      </c>
      <c r="D164" s="4" t="str">
        <f>HYPERLINK("http://www.einsteinforum.de/about/fellowship/?lang=en","The Einstein Fellowship")</f>
        <v>The Einstein Fellowship</v>
      </c>
      <c r="E164" s="5" t="s">
        <v>18</v>
      </c>
      <c r="F164" s="6" t="s">
        <v>12</v>
      </c>
      <c r="G164" s="6"/>
      <c r="H164" s="6" t="s">
        <v>417</v>
      </c>
      <c r="I164" s="12" t="s">
        <v>418</v>
      </c>
    </row>
    <row r="165" spans="1:9" s="10" customFormat="1" ht="127.5">
      <c r="A165" s="11">
        <v>43600</v>
      </c>
      <c r="B165" s="2" t="str">
        <f>HYPERLINK("https://www.daad.de/en/","DAAD German Academic Exchange Service")</f>
        <v>DAAD German Academic Exchange Service</v>
      </c>
      <c r="C165" s="3" t="s">
        <v>15</v>
      </c>
      <c r="D165" s="62" t="str">
        <f>HYPERLINK("https://www.daad.de/deutschland/stipendium/datenbank/en/21148-scholarship-database/?status=&amp;origin=104&amp;subjectGrps=&amp;daad=1&amp;q=&amp;page=3&amp;detail=50015456","Research Stays for University Academics and Scientists")</f>
        <v>Research Stays for University Academics and Scientists</v>
      </c>
      <c r="E165" s="5" t="s">
        <v>18</v>
      </c>
      <c r="F165" s="6" t="s">
        <v>12</v>
      </c>
      <c r="G165" s="6"/>
      <c r="H165" s="7"/>
      <c r="I165" s="12" t="s">
        <v>419</v>
      </c>
    </row>
    <row r="166" spans="1:9" s="10" customFormat="1" ht="204">
      <c r="A166" s="1">
        <v>43631</v>
      </c>
      <c r="B166" s="4" t="str">
        <f>HYPERLINK("https://careyinstitute.org/","Carey Institute")</f>
        <v>Carey Institute</v>
      </c>
      <c r="C166" s="3" t="s">
        <v>15</v>
      </c>
      <c r="D166" s="20" t="str">
        <f>HYPERLINK("http://careyinstitute.org/programs/nonfiction/nonfiction-fellowship/","Logan Nonfiction Program")</f>
        <v>Logan Nonfiction Program</v>
      </c>
      <c r="E166" s="5" t="s">
        <v>18</v>
      </c>
      <c r="F166" s="6" t="s">
        <v>12</v>
      </c>
      <c r="G166" s="6"/>
      <c r="H166" s="6"/>
      <c r="I166" s="12" t="s">
        <v>429</v>
      </c>
    </row>
    <row r="167" spans="1:9" s="10" customFormat="1" ht="216.75">
      <c r="A167" s="1">
        <v>43646</v>
      </c>
      <c r="B167" s="4" t="str">
        <f>HYPERLINK("https://www.hagley.org/","Hagley Museum &amp; LIbrary")</f>
        <v>Hagley Museum &amp; LIbrary</v>
      </c>
      <c r="C167" s="3" t="s">
        <v>15</v>
      </c>
      <c r="D167" s="13" t="s">
        <v>432</v>
      </c>
      <c r="E167" s="5" t="s">
        <v>18</v>
      </c>
      <c r="F167" s="6" t="s">
        <v>12</v>
      </c>
      <c r="G167" s="6"/>
      <c r="H167" s="6"/>
      <c r="I167" s="12" t="s">
        <v>433</v>
      </c>
    </row>
    <row r="168" spans="1:9" s="10" customFormat="1" ht="153">
      <c r="A168" s="1">
        <v>43661</v>
      </c>
      <c r="B168" s="4" t="str">
        <f>HYPERLINK("https://www.loc.gov","LIbrary of Congress")</f>
        <v>LIbrary of Congress</v>
      </c>
      <c r="C168" s="3" t="s">
        <v>19</v>
      </c>
      <c r="D168" s="4" t="str">
        <f>HYPERLINK("https://www.loc.gov/loc/kluge/fellowships/kluge.php","Kluge Center Fellowship")</f>
        <v>Kluge Center Fellowship</v>
      </c>
      <c r="E168" s="5" t="s">
        <v>18</v>
      </c>
      <c r="F168" s="6" t="s">
        <v>12</v>
      </c>
      <c r="G168" s="6" t="s">
        <v>439</v>
      </c>
      <c r="H168" s="7" t="s">
        <v>440</v>
      </c>
      <c r="I168" s="12" t="s">
        <v>441</v>
      </c>
    </row>
    <row r="169" spans="1:9" s="10" customFormat="1" ht="267.75">
      <c r="A169" s="11">
        <v>43406</v>
      </c>
      <c r="B169" s="4" t="str">
        <f>HYPERLINK("http://www.berggruen.org/","Berggruen Institute")</f>
        <v>Berggruen Institute</v>
      </c>
      <c r="C169" s="3" t="s">
        <v>8</v>
      </c>
      <c r="D169" s="4" t="str">
        <f>HYPERLINK("http://www.berggruen.org/fellowship-program/","Berggruen Fellowships")</f>
        <v>Berggruen Fellowships</v>
      </c>
      <c r="E169" s="5" t="s">
        <v>18</v>
      </c>
      <c r="F169" s="6" t="s">
        <v>12</v>
      </c>
      <c r="G169" s="6"/>
      <c r="H169" s="6" t="s">
        <v>448</v>
      </c>
      <c r="I169" s="12" t="s">
        <v>611</v>
      </c>
    </row>
    <row r="170" spans="1:9" s="10" customFormat="1" ht="114.75">
      <c r="A170" s="1">
        <v>43724</v>
      </c>
      <c r="B170" s="4" t="str">
        <f>HYPERLINK("https://www.cies.org/","Fulbright")</f>
        <v>Fulbright</v>
      </c>
      <c r="C170" s="3" t="s">
        <v>19</v>
      </c>
      <c r="D170" s="13" t="s">
        <v>456</v>
      </c>
      <c r="E170" s="5" t="s">
        <v>18</v>
      </c>
      <c r="F170" s="6" t="s">
        <v>39</v>
      </c>
      <c r="G170" s="6"/>
      <c r="H170" s="6"/>
      <c r="I170" s="12" t="s">
        <v>457</v>
      </c>
    </row>
    <row r="171" spans="1:9" s="10" customFormat="1" ht="76.5">
      <c r="A171" s="1">
        <v>43735</v>
      </c>
      <c r="B171" s="4" t="str">
        <f>HYPERLINK("https://www.acls.org/","American Council of Learned Societies")</f>
        <v>American Council of Learned Societies</v>
      </c>
      <c r="C171" s="3" t="s">
        <v>15</v>
      </c>
      <c r="D171" s="4" t="str">
        <f>HYPERLINK("https://www.acls.org/programs/collaborative/","ACLS Collaborative Research Fellowships")</f>
        <v>ACLS Collaborative Research Fellowships</v>
      </c>
      <c r="E171" s="5" t="s">
        <v>18</v>
      </c>
      <c r="F171" s="5" t="s">
        <v>25</v>
      </c>
      <c r="G171" s="6"/>
      <c r="H171" s="6" t="s">
        <v>461</v>
      </c>
      <c r="I171" s="12" t="s">
        <v>462</v>
      </c>
    </row>
    <row r="172" spans="1:9" s="10" customFormat="1" ht="114.75">
      <c r="A172" s="1">
        <v>43739</v>
      </c>
      <c r="B172" s="4" t="str">
        <f>HYPERLINK("https://www.wilsoncenter.org/","Wilson Center")</f>
        <v>Wilson Center</v>
      </c>
      <c r="C172" s="3" t="s">
        <v>15</v>
      </c>
      <c r="D172" s="4" t="str">
        <f>HYPERLINK("https://www.wilsoncenter.org/fellowship-application-guidelines","Fellowships")</f>
        <v>Fellowships</v>
      </c>
      <c r="E172" s="5" t="s">
        <v>18</v>
      </c>
      <c r="F172" s="6" t="s">
        <v>12</v>
      </c>
      <c r="G172" s="6"/>
      <c r="H172" s="6" t="s">
        <v>466</v>
      </c>
      <c r="I172" s="12" t="s">
        <v>467</v>
      </c>
    </row>
    <row r="173" spans="1:9" s="10" customFormat="1" ht="76.5">
      <c r="A173" s="1">
        <v>43770</v>
      </c>
      <c r="B173" s="4" t="str">
        <f>HYPERLINK("https://www.aauw.org","American Association of University Women (AAUW)")</f>
        <v>American Association of University Women (AAUW)</v>
      </c>
      <c r="C173" s="3" t="s">
        <v>57</v>
      </c>
      <c r="D173" s="13" t="s">
        <v>480</v>
      </c>
      <c r="E173" s="5" t="s">
        <v>18</v>
      </c>
      <c r="F173" s="5" t="s">
        <v>25</v>
      </c>
      <c r="G173" s="6" t="s">
        <v>481</v>
      </c>
      <c r="H173" s="7">
        <v>30000</v>
      </c>
      <c r="I173" s="12" t="s">
        <v>482</v>
      </c>
    </row>
    <row r="174" spans="1:9" s="10" customFormat="1" ht="140.25">
      <c r="A174" s="1">
        <v>43770</v>
      </c>
      <c r="B174" s="4" t="str">
        <f>HYPERLINK("https://www.brown.edu","Brown University George A. and Eliza Gardner Howard Foundation")</f>
        <v>Brown University George A. and Eliza Gardner Howard Foundation</v>
      </c>
      <c r="C174" s="3" t="s">
        <v>8</v>
      </c>
      <c r="D174" s="4" t="str">
        <f>HYPERLINK("https://www.brown.edu/initiatives/howard-foundation/","Fellowships")</f>
        <v>Fellowships</v>
      </c>
      <c r="E174" s="5" t="s">
        <v>18</v>
      </c>
      <c r="F174" s="5" t="s">
        <v>25</v>
      </c>
      <c r="G174" s="6" t="s">
        <v>176</v>
      </c>
      <c r="H174" s="7">
        <v>33000</v>
      </c>
      <c r="I174" s="12" t="s">
        <v>177</v>
      </c>
    </row>
    <row r="175" spans="1:9" s="10" customFormat="1" ht="89.25">
      <c r="A175" s="1">
        <v>43770</v>
      </c>
      <c r="B175" s="4" t="str">
        <f>HYPERLINK("http://rockarch.org/","Rockefeller Archive")</f>
        <v>Rockefeller Archive</v>
      </c>
      <c r="C175" s="3" t="s">
        <v>15</v>
      </c>
      <c r="D175" s="13" t="s">
        <v>485</v>
      </c>
      <c r="E175" s="5" t="s">
        <v>18</v>
      </c>
      <c r="F175" s="6" t="s">
        <v>12</v>
      </c>
      <c r="G175" s="6"/>
      <c r="H175" s="6"/>
      <c r="I175" s="12" t="s">
        <v>486</v>
      </c>
    </row>
    <row r="176" spans="1:9" s="10" customFormat="1" ht="114.75">
      <c r="A176" s="1">
        <v>43773</v>
      </c>
      <c r="B176" s="4" t="str">
        <f>HYPERLINK("https://sarweb.org/","School for Advanced Research")</f>
        <v>School for Advanced Research</v>
      </c>
      <c r="C176" s="3" t="s">
        <v>15</v>
      </c>
      <c r="D176" s="20" t="str">
        <f>HYPERLINK("https://sarweb.org/scholars/resident/","Residential Scholars")</f>
        <v>Residential Scholars</v>
      </c>
      <c r="E176" s="5" t="s">
        <v>18</v>
      </c>
      <c r="F176" s="6" t="s">
        <v>12</v>
      </c>
      <c r="G176" s="6"/>
      <c r="H176" s="6"/>
      <c r="I176" s="12" t="s">
        <v>216</v>
      </c>
    </row>
    <row r="177" spans="1:9" s="10" customFormat="1" ht="293.25">
      <c r="A177" s="1">
        <v>43843</v>
      </c>
      <c r="B177" s="4" t="str">
        <f>HYPERLINK("http://hcl.harvard.edu/","Harvard Houghton LIbrary")</f>
        <v>Harvard Houghton LIbrary</v>
      </c>
      <c r="C177" s="3" t="s">
        <v>8</v>
      </c>
      <c r="D177" s="20" t="str">
        <f>HYPERLINK("https://library.harvard.edu/about/grants-fellowships/houghton-library-visiting-fellowships","Houghton Library Visiting Fellowship")</f>
        <v>Houghton Library Visiting Fellowship</v>
      </c>
      <c r="E177" s="5" t="s">
        <v>18</v>
      </c>
      <c r="F177" s="6" t="s">
        <v>12</v>
      </c>
      <c r="G177" s="5"/>
      <c r="H177" s="7">
        <v>3600</v>
      </c>
      <c r="I177" s="12" t="s">
        <v>500</v>
      </c>
    </row>
    <row r="178" spans="1:9" s="10" customFormat="1" ht="216.75">
      <c r="A178" s="5" t="s">
        <v>515</v>
      </c>
      <c r="B178" s="4" t="str">
        <f>HYPERLINK("https://www.carnegie.org/","Carnegie Corporation")</f>
        <v>Carnegie Corporation</v>
      </c>
      <c r="C178" s="3" t="s">
        <v>15</v>
      </c>
      <c r="D178" s="4" t="str">
        <f>HYPERLINK("https://www.carnegie.org/news/articles/andrew-carnegie-fellows-application-information/","Andrew Carnegie Fellows Program")</f>
        <v>Andrew Carnegie Fellows Program</v>
      </c>
      <c r="E178" s="5" t="s">
        <v>18</v>
      </c>
      <c r="F178" s="5" t="s">
        <v>25</v>
      </c>
      <c r="G178" s="6" t="s">
        <v>516</v>
      </c>
      <c r="H178" s="6" t="s">
        <v>517</v>
      </c>
      <c r="I178" s="12" t="s">
        <v>518</v>
      </c>
    </row>
    <row r="179" spans="1:9" s="10" customFormat="1" ht="89.25">
      <c r="A179" s="5" t="s">
        <v>522</v>
      </c>
      <c r="B179" s="4" t="str">
        <f>HYPERLINK("http://www1.mville.edu/","Manhattanville College")</f>
        <v>Manhattanville College</v>
      </c>
      <c r="C179" s="3" t="s">
        <v>8</v>
      </c>
      <c r="D179" s="20" t="str">
        <f>HYPERLINK("http://www1.mville.edu/grants/GrantDescriptionPages/Earhart.htm","Earhart Foundation Fellowship")</f>
        <v>Earhart Foundation Fellowship</v>
      </c>
      <c r="E179" s="5" t="s">
        <v>18</v>
      </c>
      <c r="F179" s="5" t="s">
        <v>25</v>
      </c>
      <c r="G179" s="6"/>
      <c r="H179" s="6" t="s">
        <v>523</v>
      </c>
      <c r="I179" s="12" t="s">
        <v>524</v>
      </c>
    </row>
    <row r="180" spans="1:9" s="10" customFormat="1" ht="127.5">
      <c r="A180" s="1" t="s">
        <v>102</v>
      </c>
      <c r="B180" s="4" t="str">
        <f>HYPERLINK("https://www.humboldt-foundation.de","Humboldt Foundation")</f>
        <v>Humboldt Foundation</v>
      </c>
      <c r="C180" s="3" t="s">
        <v>15</v>
      </c>
      <c r="D180" s="4" t="str">
        <f>HYPERLINK("https://www.humboldt-foundation.de/web/humboldt-fellowship-postdoc.html","Humboldt Research Fellowship for Postdoctoral Researchers")</f>
        <v>Humboldt Research Fellowship for Postdoctoral Researchers</v>
      </c>
      <c r="E180" s="5" t="s">
        <v>18</v>
      </c>
      <c r="F180" s="5" t="s">
        <v>25</v>
      </c>
      <c r="G180" s="6" t="s">
        <v>527</v>
      </c>
      <c r="H180" s="7"/>
      <c r="I180" s="12" t="s">
        <v>528</v>
      </c>
    </row>
    <row r="181" spans="1:9" s="10" customFormat="1" ht="114.75">
      <c r="A181" s="1" t="s">
        <v>102</v>
      </c>
      <c r="B181" s="4" t="str">
        <f>HYPERLINK("https://www.theinvestigativefund.org/","The Investigative Fund")</f>
        <v>The Investigative Fund</v>
      </c>
      <c r="C181" s="3" t="s">
        <v>15</v>
      </c>
      <c r="D181" s="3" t="s">
        <v>385</v>
      </c>
      <c r="E181" s="5" t="s">
        <v>18</v>
      </c>
      <c r="F181" s="5" t="s">
        <v>25</v>
      </c>
      <c r="G181" s="6"/>
      <c r="H181" s="7"/>
      <c r="I181" s="12" t="s">
        <v>529</v>
      </c>
    </row>
    <row r="182" spans="1:9" s="10" customFormat="1" ht="178.5">
      <c r="A182" s="1" t="s">
        <v>102</v>
      </c>
      <c r="B182" s="4" t="str">
        <f>HYPERLINK("https://www.humboldt-foundation.de","Humboldt Foundation")</f>
        <v>Humboldt Foundation</v>
      </c>
      <c r="C182" s="3" t="s">
        <v>15</v>
      </c>
      <c r="D182" s="4" t="str">
        <f>HYPERLINK("https://www.humboldt-foundation.de/web/humboldt-fellowship-experienced.html","Humboldt Research Fellowship for Experienced Researchers")</f>
        <v>Humboldt Research Fellowship for Experienced Researchers</v>
      </c>
      <c r="E182" s="5" t="s">
        <v>18</v>
      </c>
      <c r="F182" s="6" t="s">
        <v>12</v>
      </c>
      <c r="G182" s="6" t="s">
        <v>531</v>
      </c>
      <c r="H182" s="7"/>
      <c r="I182" s="12" t="s">
        <v>532</v>
      </c>
    </row>
    <row r="183" spans="1:9" s="10" customFormat="1" ht="89.25">
      <c r="A183" s="1" t="s">
        <v>102</v>
      </c>
      <c r="B183" s="4" t="str">
        <f>HYPERLINK("https://www.usip.org","U.S. Institute of Peace")</f>
        <v>U.S. Institute of Peace</v>
      </c>
      <c r="C183" s="3" t="s">
        <v>15</v>
      </c>
      <c r="D183" s="13" t="s">
        <v>533</v>
      </c>
      <c r="E183" s="5" t="s">
        <v>18</v>
      </c>
      <c r="F183" s="6" t="s">
        <v>12</v>
      </c>
      <c r="G183" s="6"/>
      <c r="H183" s="6" t="s">
        <v>534</v>
      </c>
      <c r="I183" s="12" t="s">
        <v>535</v>
      </c>
    </row>
    <row r="184" spans="1:9" s="10" customFormat="1" ht="178.5">
      <c r="A184" s="1" t="s">
        <v>102</v>
      </c>
      <c r="B184" s="4" t="str">
        <f>HYPERLINK("https://www.cbo.gov/","Congressional Budget Office")</f>
        <v>Congressional Budget Office</v>
      </c>
      <c r="C184" s="3" t="s">
        <v>19</v>
      </c>
      <c r="D184" s="13" t="str">
        <f>HYPERLINK("https://www.cbo.gov/about/careers/visitingscholars","Visiting Scholar")</f>
        <v>Visiting Scholar</v>
      </c>
      <c r="E184" s="5" t="s">
        <v>18</v>
      </c>
      <c r="F184" s="5" t="s">
        <v>25</v>
      </c>
      <c r="G184" s="6" t="s">
        <v>540</v>
      </c>
      <c r="H184" s="7"/>
      <c r="I184" s="12" t="s">
        <v>541</v>
      </c>
    </row>
    <row r="185" spans="1:9" s="10" customFormat="1" ht="127.5">
      <c r="A185" s="5" t="s">
        <v>552</v>
      </c>
      <c r="B185" s="2" t="str">
        <f>HYPERLINK("http://www.asia-europe.uni-heidelberg.de/en/hcts.html","Heidelberg Center for Transcultural Studies")</f>
        <v>Heidelberg Center for Transcultural Studies</v>
      </c>
      <c r="C185" s="3" t="s">
        <v>8</v>
      </c>
      <c r="D185" s="2" t="str">
        <f>HYPERLINK("http://www.asia-europe.uni-heidelberg.de/en/hcts.html","Fellowships")</f>
        <v>Fellowships</v>
      </c>
      <c r="E185" s="5" t="s">
        <v>18</v>
      </c>
      <c r="F185" s="5" t="s">
        <v>25</v>
      </c>
      <c r="G185" s="6"/>
      <c r="H185" s="7"/>
      <c r="I185" s="12" t="s">
        <v>553</v>
      </c>
    </row>
    <row r="186" spans="1:9" s="10" customFormat="1" ht="280.5">
      <c r="A186" s="1">
        <v>43356</v>
      </c>
      <c r="B186" s="4" t="str">
        <f>HYPERLINK("https://www.radcliffe.harvard.edu/","Radcliffe Institute for Advanced Study Harvard University")</f>
        <v>Radcliffe Institute for Advanced Study Harvard University</v>
      </c>
      <c r="C186" s="3" t="s">
        <v>8</v>
      </c>
      <c r="D186" s="13" t="s">
        <v>73</v>
      </c>
      <c r="E186" s="5" t="s">
        <v>74</v>
      </c>
      <c r="F186" s="6" t="s">
        <v>12</v>
      </c>
      <c r="G186" s="6"/>
      <c r="H186" s="6"/>
      <c r="I186" s="12" t="s">
        <v>75</v>
      </c>
    </row>
    <row r="187" spans="1:9" s="10" customFormat="1" ht="178.5">
      <c r="A187" s="1">
        <v>43490</v>
      </c>
      <c r="B187" s="4" t="str">
        <f>HYPERLINK("https://www.virginiahistory.org/","Virginia Museum of History and Culture")</f>
        <v>Virginia Museum of History and Culture</v>
      </c>
      <c r="C187" s="3" t="s">
        <v>29</v>
      </c>
      <c r="D187" s="13" t="s">
        <v>314</v>
      </c>
      <c r="E187" s="5" t="s">
        <v>315</v>
      </c>
      <c r="F187" s="6" t="s">
        <v>12</v>
      </c>
      <c r="G187" s="18"/>
      <c r="H187" s="6" t="s">
        <v>291</v>
      </c>
      <c r="I187" s="12" t="s">
        <v>316</v>
      </c>
    </row>
    <row r="188" spans="1:9" s="10" customFormat="1" ht="191.25">
      <c r="A188" s="1">
        <v>43647</v>
      </c>
      <c r="B188" s="4" t="str">
        <f>HYPERLINK("https://clags.org/","CLAGS")</f>
        <v>CLAGS</v>
      </c>
      <c r="C188" s="3" t="s">
        <v>15</v>
      </c>
      <c r="D188" s="13" t="s">
        <v>434</v>
      </c>
      <c r="E188" s="5" t="s">
        <v>435</v>
      </c>
      <c r="F188" s="6" t="s">
        <v>12</v>
      </c>
      <c r="G188" s="6"/>
      <c r="H188" s="25">
        <v>0</v>
      </c>
      <c r="I188" s="12" t="s">
        <v>436</v>
      </c>
    </row>
    <row r="189" spans="1:9" s="10" customFormat="1" ht="153">
      <c r="A189" s="1">
        <v>43231</v>
      </c>
      <c r="B189" s="4" t="str">
        <f>HYPERLINK("https://nij.gov/Pages/welcome.aspx","National Institute of Justice")</f>
        <v>National Institute of Justice</v>
      </c>
      <c r="C189" s="3" t="s">
        <v>19</v>
      </c>
      <c r="D189" s="4" t="str">
        <f>HYPERLINK("https://nij.gov/funding/fellowships/Pages/welcome.aspx","W.E.B Du Bois Program")</f>
        <v>W.E.B Du Bois Program</v>
      </c>
      <c r="E189" s="5" t="s">
        <v>24</v>
      </c>
      <c r="F189" s="5" t="s">
        <v>25</v>
      </c>
      <c r="G189" s="5"/>
      <c r="H189" s="6"/>
      <c r="I189" s="12" t="s">
        <v>26</v>
      </c>
    </row>
    <row r="190" spans="1:9" s="10" customFormat="1" ht="102.75">
      <c r="A190" s="11">
        <v>43494</v>
      </c>
      <c r="B190" s="4" t="str">
        <f>HYPERLINK("http://jamesweldonjohnson.emory.edu","James Weldon Johnson Institute for the Study of Race &amp; Difference at Emory University")</f>
        <v>James Weldon Johnson Institute for the Study of Race &amp; Difference at Emory University</v>
      </c>
      <c r="C190" s="38" t="s">
        <v>8</v>
      </c>
      <c r="D190" s="39" t="str">
        <f>HYPERLINK("http://jamesweldonjohnson.emory.edu/home/fellowship/apply.html","Visiting Fellowships for Post-Doctoral and Advanced Scholars")</f>
        <v>Visiting Fellowships for Post-Doctoral and Advanced Scholars</v>
      </c>
      <c r="E190" s="5" t="s">
        <v>317</v>
      </c>
      <c r="F190" s="6" t="s">
        <v>12</v>
      </c>
      <c r="G190" s="9"/>
      <c r="H190" s="6"/>
      <c r="I190" s="40" t="s">
        <v>318</v>
      </c>
    </row>
    <row r="191" spans="1:9" s="10" customFormat="1" ht="89.25">
      <c r="A191" s="11">
        <v>43374</v>
      </c>
      <c r="B191" s="14" t="str">
        <f>HYPERLINK("baef.be","Beligian American Educational Foundation")</f>
        <v>Beligian American Educational Foundation</v>
      </c>
      <c r="C191" s="3" t="s">
        <v>15</v>
      </c>
      <c r="D191" s="14" t="str">
        <f>HYPERLINK("http://www.baef.be/documents/fellowships-for-us-citizens/study-res-fellow.-for-us-citizen-.xml?lang=en","Fellowships")</f>
        <v>Fellowships</v>
      </c>
      <c r="E191" s="5" t="s">
        <v>275</v>
      </c>
      <c r="F191" s="5" t="s">
        <v>25</v>
      </c>
      <c r="G191" s="6"/>
      <c r="H191" s="7">
        <v>32000</v>
      </c>
      <c r="I191" s="12" t="s">
        <v>612</v>
      </c>
    </row>
    <row r="192" spans="1:9" s="10" customFormat="1" ht="114.75">
      <c r="A192" s="11">
        <v>43405</v>
      </c>
      <c r="B192" s="14" t="str">
        <f>HYPERLINK("http://www.amscan.org/","American-Scandinavian Foundation")</f>
        <v>American-Scandinavian Foundation</v>
      </c>
      <c r="C192" s="3" t="s">
        <v>15</v>
      </c>
      <c r="D192" s="14" t="str">
        <f>HYPERLINK("http://www.amscan.org/fellowships-and-grants/fellowshipsgrants-to-study-in-scandinavia/","Fellowships/Grants to Study in Scandanavia")</f>
        <v>Fellowships/Grants to Study in Scandanavia</v>
      </c>
      <c r="E192" s="5" t="s">
        <v>275</v>
      </c>
      <c r="F192" s="6" t="s">
        <v>12</v>
      </c>
      <c r="G192" s="6"/>
      <c r="H192" s="7" t="s">
        <v>192</v>
      </c>
      <c r="I192" s="12" t="s">
        <v>193</v>
      </c>
    </row>
    <row r="193" spans="1:9" s="10" customFormat="1" ht="127.5">
      <c r="A193" s="11">
        <v>43435</v>
      </c>
      <c r="B193" s="2" t="str">
        <f>HYPERLINK("http://www.aisls.org/","American Institute for Sri Lankan Studies")</f>
        <v>American Institute for Sri Lankan Studies</v>
      </c>
      <c r="C193" s="3" t="s">
        <v>8</v>
      </c>
      <c r="D193" s="2" t="str">
        <f>HYPERLINK("http://www.aisls.org/grants/aisls-fellowship-program/","Fellowship Program")</f>
        <v>Fellowship Program</v>
      </c>
      <c r="E193" s="5" t="s">
        <v>275</v>
      </c>
      <c r="F193" s="5" t="s">
        <v>25</v>
      </c>
      <c r="G193" s="6"/>
      <c r="H193" s="7" t="s">
        <v>238</v>
      </c>
      <c r="I193" s="12" t="s">
        <v>589</v>
      </c>
    </row>
    <row r="194" spans="1:9" s="10" customFormat="1" ht="102">
      <c r="A194" s="11">
        <v>43478</v>
      </c>
      <c r="B194" s="2" t="str">
        <f>HYPERLINK("https://www.oxcis.ac.uk/","Oxford Centre for Islamic Studies")</f>
        <v>Oxford Centre for Islamic Studies</v>
      </c>
      <c r="C194" s="3" t="s">
        <v>8</v>
      </c>
      <c r="D194" s="2" t="str">
        <f>HYPERLINK("https://www.oxcis.ac.uk/visiting-fellowships","Visiting Fellowships")</f>
        <v>Visiting Fellowships</v>
      </c>
      <c r="E194" s="5" t="s">
        <v>275</v>
      </c>
      <c r="F194" s="5" t="s">
        <v>25</v>
      </c>
      <c r="G194" s="6" t="s">
        <v>276</v>
      </c>
      <c r="H194" s="6" t="s">
        <v>277</v>
      </c>
      <c r="I194" s="12" t="s">
        <v>278</v>
      </c>
    </row>
    <row r="195" spans="1:9" s="10" customFormat="1" ht="51">
      <c r="A195" s="1">
        <v>43489</v>
      </c>
      <c r="B195" s="4" t="str">
        <f>HYPERLINK("https://www.caorc.org/","Council of American Overseas Research Centers (CAORC)")</f>
        <v>Council of American Overseas Research Centers (CAORC)</v>
      </c>
      <c r="C195" s="3" t="s">
        <v>15</v>
      </c>
      <c r="D195" s="3" t="s">
        <v>312</v>
      </c>
      <c r="E195" s="5" t="s">
        <v>275</v>
      </c>
      <c r="F195" s="5" t="s">
        <v>25</v>
      </c>
      <c r="G195" s="18"/>
      <c r="H195" s="6"/>
      <c r="I195" s="12" t="s">
        <v>313</v>
      </c>
    </row>
    <row r="196" spans="1:9" s="10" customFormat="1" ht="178.5">
      <c r="A196" s="1">
        <v>43489</v>
      </c>
      <c r="B196" s="4" t="str">
        <f>HYPERLINK("https://www.caorc.org/","Council of American Overseas Research Centers (CAORC)")</f>
        <v>Council of American Overseas Research Centers (CAORC)</v>
      </c>
      <c r="C196" s="3" t="s">
        <v>15</v>
      </c>
      <c r="D196" s="4" t="str">
        <f>HYPERLINK("https://www.caorc.org/fellowships","National Endowment for the Humanities Senior Research Fellowship Programs")</f>
        <v>National Endowment for the Humanities Senior Research Fellowship Programs</v>
      </c>
      <c r="E196" s="5" t="s">
        <v>275</v>
      </c>
      <c r="F196" s="6" t="s">
        <v>12</v>
      </c>
      <c r="G196" s="18" t="s">
        <v>90</v>
      </c>
      <c r="H196" s="6"/>
      <c r="I196" s="12" t="s">
        <v>91</v>
      </c>
    </row>
    <row r="197" spans="1:9" s="10" customFormat="1" ht="140.25">
      <c r="A197" s="1">
        <v>43489</v>
      </c>
      <c r="B197" s="4" t="str">
        <f>HYPERLINK("https://www.caorc.org/","Council of American Overseas Research Centers (CAORC)")</f>
        <v>Council of American Overseas Research Centers (CAORC)</v>
      </c>
      <c r="C197" s="3" t="s">
        <v>15</v>
      </c>
      <c r="D197" s="4" t="str">
        <f>HYPERLINK("https://www.caorc.org/fellowships","Multi-country Research Fellowship Program")</f>
        <v>Multi-country Research Fellowship Program</v>
      </c>
      <c r="E197" s="5" t="s">
        <v>275</v>
      </c>
      <c r="F197" s="6" t="s">
        <v>12</v>
      </c>
      <c r="G197" s="18"/>
      <c r="H197" s="6" t="s">
        <v>306</v>
      </c>
      <c r="I197" s="12" t="s">
        <v>307</v>
      </c>
    </row>
    <row r="198" spans="1:9" s="10" customFormat="1" ht="63.75">
      <c r="A198" s="11">
        <v>43508</v>
      </c>
      <c r="B198" s="2" t="str">
        <f>HYPERLINK("http://www.aiys.org/","American Institute for Yemeni Studies")</f>
        <v>American Institute for Yemeni Studies</v>
      </c>
      <c r="C198" s="3" t="s">
        <v>8</v>
      </c>
      <c r="D198" s="2" t="str">
        <f>HYPERLINK("http://www.aiys.org/fellowships.html","Fellowships for Study and Research in Yemen")</f>
        <v>Fellowships for Study and Research in Yemen</v>
      </c>
      <c r="E198" s="5" t="s">
        <v>275</v>
      </c>
      <c r="F198" s="5" t="s">
        <v>25</v>
      </c>
      <c r="G198" s="6" t="s">
        <v>342</v>
      </c>
      <c r="H198" s="7">
        <v>6000</v>
      </c>
      <c r="I198" s="12" t="s">
        <v>590</v>
      </c>
    </row>
    <row r="199" spans="1:9" s="10" customFormat="1" ht="90">
      <c r="A199" s="1">
        <v>43532</v>
      </c>
      <c r="B199" s="4" t="str">
        <f>HYPERLINK("https://www.baylor.edu/","Baylor University Library")</f>
        <v>Baylor University Library</v>
      </c>
      <c r="C199" s="3" t="s">
        <v>8</v>
      </c>
      <c r="D199" s="13" t="s">
        <v>368</v>
      </c>
      <c r="E199" s="5" t="s">
        <v>275</v>
      </c>
      <c r="F199" s="6" t="s">
        <v>12</v>
      </c>
      <c r="G199" s="5"/>
      <c r="H199" s="6" t="s">
        <v>369</v>
      </c>
      <c r="I199" s="42" t="s">
        <v>370</v>
      </c>
    </row>
    <row r="200" spans="1:9" s="10" customFormat="1" ht="38.25">
      <c r="A200" s="11">
        <v>43585</v>
      </c>
      <c r="B200" s="14" t="str">
        <f>HYPERLINK("https://www.sas.ac.uk/","Univeristy of London, School of Advanced Study")</f>
        <v>Univeristy of London, School of Advanced Study</v>
      </c>
      <c r="C200" s="3" t="s">
        <v>8</v>
      </c>
      <c r="D200" s="14" t="str">
        <f>HYPERLINK("https://modernlanguages.sas.ac.uk/research-fellowships/visiting-fellowships-and-scholarships","Institute of Modern Languages Research Fellowship")</f>
        <v>Institute of Modern Languages Research Fellowship</v>
      </c>
      <c r="E200" s="5" t="s">
        <v>275</v>
      </c>
      <c r="F200" s="5" t="s">
        <v>25</v>
      </c>
      <c r="G200" s="6"/>
      <c r="H200" s="7" t="s">
        <v>321</v>
      </c>
      <c r="I200" s="8" t="s">
        <v>407</v>
      </c>
    </row>
    <row r="201" spans="1:9" s="10" customFormat="1" ht="102">
      <c r="A201" s="11">
        <v>43616</v>
      </c>
      <c r="B201" s="2" t="str">
        <f>HYPERLINK("https://www.sas.ac.uk/","University of London, School of Advanced Study")</f>
        <v>University of London, School of Advanced Study</v>
      </c>
      <c r="C201" s="3" t="s">
        <v>8</v>
      </c>
      <c r="D201" s="4" t="str">
        <f>HYPERLINK("https://commonwealth.sas.ac.uk/fellowships","Institute of Commonwealth Studies Fellowships")</f>
        <v>Institute of Commonwealth Studies Fellowships</v>
      </c>
      <c r="E201" s="5" t="s">
        <v>275</v>
      </c>
      <c r="F201" s="5" t="s">
        <v>25</v>
      </c>
      <c r="G201" s="6"/>
      <c r="H201" s="7" t="s">
        <v>22</v>
      </c>
      <c r="I201" s="8" t="s">
        <v>422</v>
      </c>
    </row>
    <row r="202" spans="1:9" s="10" customFormat="1" ht="204.75">
      <c r="A202" s="1">
        <v>43723</v>
      </c>
      <c r="B202" s="4" t="str">
        <f>HYPERLINK("https://oead.at/de/","OEAD, Austria")</f>
        <v>OEAD, Austria</v>
      </c>
      <c r="C202" s="5" t="s">
        <v>15</v>
      </c>
      <c r="D202" s="47" t="str">
        <f>HYPERLINK("https://oead.at/de/nach-oesterreich/stipendien/franz-werfel-stipendium/","Franz Werfel Scholarship")</f>
        <v>Franz Werfel Scholarship</v>
      </c>
      <c r="E202" s="5" t="s">
        <v>275</v>
      </c>
      <c r="F202" s="6" t="s">
        <v>12</v>
      </c>
      <c r="G202" s="5" t="s">
        <v>71</v>
      </c>
      <c r="H202" s="5" t="s">
        <v>454</v>
      </c>
      <c r="I202" s="42" t="s">
        <v>455</v>
      </c>
    </row>
    <row r="203" spans="1:9" s="10" customFormat="1" ht="89.25">
      <c r="A203" s="5" t="s">
        <v>102</v>
      </c>
      <c r="B203" s="2" t="str">
        <f>HYPERLINK("https://www.sas.ac.uk/","Univeristy of London, School of Advanced Study")</f>
        <v>Univeristy of London, School of Advanced Study</v>
      </c>
      <c r="C203" s="3" t="s">
        <v>8</v>
      </c>
      <c r="D203" s="4" t="str">
        <f>HYPERLINK("https://ilas.sas.ac.uk/fellowships/visiting-fellows","Institute of Latin American Studies Visiting Fellowship")</f>
        <v>Institute of Latin American Studies Visiting Fellowship</v>
      </c>
      <c r="E203" s="5" t="s">
        <v>275</v>
      </c>
      <c r="F203" s="5" t="s">
        <v>25</v>
      </c>
      <c r="G203" s="6"/>
      <c r="H203" s="7" t="s">
        <v>22</v>
      </c>
      <c r="I203" s="8" t="s">
        <v>530</v>
      </c>
    </row>
    <row r="204" spans="1:9" s="10" customFormat="1" ht="127.5">
      <c r="A204" s="11">
        <v>43405</v>
      </c>
      <c r="B204" s="14" t="str">
        <f>HYPERLINK("asor.org","American Schools of Oriental Research")</f>
        <v>American Schools of Oriental Research</v>
      </c>
      <c r="C204" s="3" t="s">
        <v>29</v>
      </c>
      <c r="D204" s="14" t="str">
        <f>HYPERLINK("http://www.asor.org/fellowships/mesopotamian-fellowship/","Mesopotamian Fellowship")</f>
        <v>Mesopotamian Fellowship</v>
      </c>
      <c r="E204" s="68" t="s">
        <v>58</v>
      </c>
      <c r="F204" s="5" t="s">
        <v>25</v>
      </c>
      <c r="G204" s="6"/>
      <c r="H204" s="7">
        <v>9000</v>
      </c>
      <c r="I204" s="12" t="s">
        <v>591</v>
      </c>
    </row>
    <row r="205" spans="1:9" s="10" customFormat="1" ht="63.75">
      <c r="A205" s="1">
        <v>43115</v>
      </c>
      <c r="B205" s="4" t="str">
        <f>HYPERLINK("http://www.cam.ac.uk/","University of Cambridge")</f>
        <v>University of Cambridge</v>
      </c>
      <c r="C205" s="3" t="s">
        <v>8</v>
      </c>
      <c r="D205" s="4" t="str">
        <f>HYPERLINK("https://www.african.cam.ac.uk/research/travel/Fellowship","The Centre of African Studies Visiting Fellowship")</f>
        <v>The Centre of African Studies Visiting Fellowship</v>
      </c>
      <c r="E205" s="5" t="s">
        <v>11</v>
      </c>
      <c r="F205" s="6" t="s">
        <v>12</v>
      </c>
      <c r="G205" s="6"/>
      <c r="H205" s="6" t="s">
        <v>13</v>
      </c>
      <c r="I205" s="12" t="s">
        <v>14</v>
      </c>
    </row>
    <row r="206" spans="1:9" s="10" customFormat="1" ht="89.25">
      <c r="A206" s="1">
        <v>43482</v>
      </c>
      <c r="B206" s="4" t="str">
        <f>HYPERLINK("https://hutchinscenter.fas.harvard.edu/home","Hutchins Center for African and African American Research Harvard University")</f>
        <v>Hutchins Center for African and African American Research Harvard University</v>
      </c>
      <c r="C206" s="3" t="s">
        <v>8</v>
      </c>
      <c r="D206" s="4" t="str">
        <f>HYPERLINK("https://hutchinscenter.fas.harvard.edu/w-e-b-du-bois-research-institute","Du Bois Research Institute Fellowship")</f>
        <v>Du Bois Research Institute Fellowship</v>
      </c>
      <c r="E206" s="5" t="s">
        <v>302</v>
      </c>
      <c r="F206" s="6" t="s">
        <v>12</v>
      </c>
      <c r="G206" s="6"/>
      <c r="H206" s="6" t="s">
        <v>303</v>
      </c>
      <c r="I206" s="12" t="s">
        <v>304</v>
      </c>
    </row>
    <row r="207" spans="1:9" s="10" customFormat="1" ht="267.75">
      <c r="A207" s="1">
        <v>43647</v>
      </c>
      <c r="B207" s="69" t="str">
        <f>HYPERLINK("https://www.indiastudies.org/","American Institute for Indian Studies")</f>
        <v>American Institute for Indian Studies</v>
      </c>
      <c r="C207" s="3" t="s">
        <v>8</v>
      </c>
      <c r="D207" s="69" t="str">
        <f>HYPERLINK("http://www.indiastudies.org/research-fellowship-programs/categories-of-fellowship/","Research &amp; Senior Scholarly/Professional Development Fellowships")</f>
        <v>Research &amp; Senior Scholarly/Professional Development Fellowships</v>
      </c>
      <c r="E207" s="5" t="s">
        <v>224</v>
      </c>
      <c r="F207" s="6" t="s">
        <v>39</v>
      </c>
      <c r="G207" s="6" t="s">
        <v>121</v>
      </c>
      <c r="H207" s="6" t="s">
        <v>437</v>
      </c>
      <c r="I207" s="67" t="s">
        <v>438</v>
      </c>
    </row>
    <row r="208" spans="1:9" s="10" customFormat="1" ht="102">
      <c r="A208" s="1">
        <v>43739</v>
      </c>
      <c r="B208" s="69" t="str">
        <f>HYPERLINK("https://iias.asia","International Institute for Asian Studies")</f>
        <v>International Institute for Asian Studies</v>
      </c>
      <c r="C208" s="3" t="s">
        <v>8</v>
      </c>
      <c r="D208" s="20" t="str">
        <f>HYPERLINK("https://iias.asia/page/iias-fellowship-application","IIAS Fellowship")</f>
        <v>IIAS Fellowship</v>
      </c>
      <c r="E208" s="5" t="s">
        <v>224</v>
      </c>
      <c r="F208" s="6" t="s">
        <v>12</v>
      </c>
      <c r="G208" s="5"/>
      <c r="H208" s="6" t="s">
        <v>468</v>
      </c>
      <c r="I208" s="67" t="s">
        <v>469</v>
      </c>
    </row>
    <row r="209" spans="1:9" s="10" customFormat="1" ht="89.25">
      <c r="A209" s="1">
        <v>43374</v>
      </c>
      <c r="B209" s="14" t="str">
        <f>HYPERLINK("http://researchfellowships.americancouncils.org/","American Councils Research Fellowships")</f>
        <v>American Councils Research Fellowships</v>
      </c>
      <c r="C209" s="3" t="s">
        <v>19</v>
      </c>
      <c r="D209" s="16" t="str">
        <f>HYPERLINK("http://researchfellowships.americancouncils.org/researchscholar","Title VIII Research Scholars Program")</f>
        <v>Title VIII Research Scholars Program</v>
      </c>
      <c r="E209" s="5" t="s">
        <v>111</v>
      </c>
      <c r="F209" s="6" t="s">
        <v>112</v>
      </c>
      <c r="G209" s="6"/>
      <c r="H209" s="6" t="s">
        <v>113</v>
      </c>
      <c r="I209" s="12" t="s">
        <v>114</v>
      </c>
    </row>
    <row r="210" spans="1:9" s="10" customFormat="1" ht="102">
      <c r="A210" s="1">
        <v>43479</v>
      </c>
      <c r="B210" s="4" t="str">
        <f>HYPERLINK("http://www.huri.harvard.edu/","Ukrainian Research institute Harvard University ")</f>
        <v xml:space="preserve">Ukrainian Research institute Harvard University </v>
      </c>
      <c r="C210" s="3" t="s">
        <v>8</v>
      </c>
      <c r="D210" s="13" t="s">
        <v>281</v>
      </c>
      <c r="E210" s="5" t="s">
        <v>111</v>
      </c>
      <c r="F210" s="6" t="s">
        <v>12</v>
      </c>
      <c r="G210" s="6" t="s">
        <v>282</v>
      </c>
      <c r="H210" s="6" t="s">
        <v>283</v>
      </c>
      <c r="I210" s="12" t="s">
        <v>284</v>
      </c>
    </row>
    <row r="211" spans="1:9" s="10" customFormat="1" ht="255">
      <c r="A211" s="1">
        <v>43600</v>
      </c>
      <c r="B211" s="4" t="str">
        <f>HYPERLINK("https://www.wilsoncenter.org/","Wilson Center")</f>
        <v>Wilson Center</v>
      </c>
      <c r="C211" s="3" t="s">
        <v>15</v>
      </c>
      <c r="D211" s="4" t="str">
        <f>HYPERLINK("https://www.wilsoncenter.org/opportunity/billington-fellowship","Billington Fellowship")</f>
        <v>Billington Fellowship</v>
      </c>
      <c r="E211" s="5" t="s">
        <v>111</v>
      </c>
      <c r="F211" s="6" t="s">
        <v>12</v>
      </c>
      <c r="G211" s="6" t="s">
        <v>71</v>
      </c>
      <c r="H211" s="6" t="s">
        <v>420</v>
      </c>
      <c r="I211" s="67" t="s">
        <v>562</v>
      </c>
    </row>
    <row r="212" spans="1:9" s="10" customFormat="1" ht="140.25">
      <c r="A212" s="1">
        <v>43738</v>
      </c>
      <c r="B212" s="4" t="str">
        <f>HYPERLINK("https://www.wilsoncenter.org/","Wilson Center")</f>
        <v>Wilson Center</v>
      </c>
      <c r="C212" s="3" t="s">
        <v>8</v>
      </c>
      <c r="D212" s="69" t="str">
        <f>HYPERLINK("https://www.wilsoncenter.org/opportunity/kennan-institute-short-term-grant","Kennan Institute Title VIII Short-Term Grants")</f>
        <v>Kennan Institute Title VIII Short-Term Grants</v>
      </c>
      <c r="E212" s="5" t="s">
        <v>111</v>
      </c>
      <c r="F212" s="6" t="s">
        <v>12</v>
      </c>
      <c r="G212" s="6"/>
      <c r="H212" s="6" t="s">
        <v>463</v>
      </c>
      <c r="I212" s="67" t="s">
        <v>563</v>
      </c>
    </row>
    <row r="213" spans="1:9" s="10" customFormat="1" ht="140.25">
      <c r="A213" s="1">
        <v>43843</v>
      </c>
      <c r="B213" s="4" t="str">
        <f>HYPERLINK("http://www.huri.harvard.edu/","Ukranian Research institute Harvard University ")</f>
        <v xml:space="preserve">Ukranian Research institute Harvard University </v>
      </c>
      <c r="C213" s="3" t="s">
        <v>8</v>
      </c>
      <c r="D213" s="20" t="str">
        <f>HYPERLINK("http://www.huri.harvard.edu/fellowships-grants-internships/jacyk-fellowship/about-jacyk-fellowship.html","Petro Jacyk Distinguished Fellowship")</f>
        <v>Petro Jacyk Distinguished Fellowship</v>
      </c>
      <c r="E213" s="5" t="s">
        <v>111</v>
      </c>
      <c r="F213" s="6" t="s">
        <v>12</v>
      </c>
      <c r="G213" s="11"/>
      <c r="H213" s="6" t="s">
        <v>501</v>
      </c>
      <c r="I213" s="12" t="s">
        <v>502</v>
      </c>
    </row>
    <row r="214" spans="1:9" s="10" customFormat="1" ht="102">
      <c r="A214" s="1">
        <v>43405</v>
      </c>
      <c r="B214" s="14" t="str">
        <f>HYPERLINK("https://ces.fas.harvard.edu/","Harvard Center for European Studies")</f>
        <v>Harvard Center for European Studies</v>
      </c>
      <c r="C214" s="3" t="s">
        <v>8</v>
      </c>
      <c r="D214" s="14" t="str">
        <f>HYPERLINK("https://ces.fas.harvard.edu/opportunities/fellows/visiting-scholars","Visiting Scholars and Fellows Program")</f>
        <v>Visiting Scholars and Fellows Program</v>
      </c>
      <c r="E214" s="5" t="s">
        <v>196</v>
      </c>
      <c r="F214" s="6" t="s">
        <v>12</v>
      </c>
      <c r="G214" s="6"/>
      <c r="H214" s="6" t="s">
        <v>197</v>
      </c>
      <c r="I214" s="12" t="s">
        <v>198</v>
      </c>
    </row>
    <row r="215" spans="1:9" s="10" customFormat="1" ht="63.75">
      <c r="A215" s="1">
        <v>43435</v>
      </c>
      <c r="B215" s="36" t="str">
        <f>HYPERLINK("https://www.fu-berlin.de/en/","Freie Universtat Berlin")</f>
        <v>Freie Universtat Berlin</v>
      </c>
      <c r="C215" s="3" t="s">
        <v>8</v>
      </c>
      <c r="D215" s="4" t="str">
        <f>HYPERLINK("https://www.fu-berlin.de/en/sites/bprogram/application/index.html","Fellowship")</f>
        <v>Fellowship</v>
      </c>
      <c r="E215" s="5" t="s">
        <v>196</v>
      </c>
      <c r="F215" s="6" t="s">
        <v>12</v>
      </c>
      <c r="G215" s="6"/>
      <c r="H215" s="7">
        <v>20000</v>
      </c>
      <c r="I215" s="12" t="s">
        <v>244</v>
      </c>
    </row>
    <row r="216" spans="1:9" s="10" customFormat="1" ht="76.5">
      <c r="A216" s="1">
        <v>43511</v>
      </c>
      <c r="B216" s="4" t="str">
        <f>HYPERLINK("https://www.societyforfrenchhistoricalstudies.net/","Society for French Historical Studies")</f>
        <v>Society for French Historical Studies</v>
      </c>
      <c r="C216" s="3" t="s">
        <v>15</v>
      </c>
      <c r="D216" s="20" t="str">
        <f>HYPERLINK("https://www.societyforfrenchhistoricalstudies.net/institut-fund","Research Fellowship")</f>
        <v>Research Fellowship</v>
      </c>
      <c r="E216" s="5" t="s">
        <v>196</v>
      </c>
      <c r="F216" s="5" t="s">
        <v>39</v>
      </c>
      <c r="G216" s="5" t="s">
        <v>347</v>
      </c>
      <c r="H216" s="6" t="s">
        <v>348</v>
      </c>
      <c r="I216" s="12" t="s">
        <v>349</v>
      </c>
    </row>
    <row r="217" spans="1:9" s="10" customFormat="1" ht="102">
      <c r="A217" s="1">
        <v>43525</v>
      </c>
      <c r="B217" s="4" t="str">
        <f>HYPERLINK("http://www.botstiber.org","Botstiber Institute")</f>
        <v>Botstiber Institute</v>
      </c>
      <c r="C217" s="3" t="s">
        <v>8</v>
      </c>
      <c r="D217" s="4" t="str">
        <f>HYPERLINK("http://botstiber.org/institute-for-austrian-american-studies/funding-opportunities/biaas-fellowships-grants/fellowship-guidelines/","Botstiber Fellowship in Transatlantic Austrian and Central European Relationships")</f>
        <v>Botstiber Fellowship in Transatlantic Austrian and Central European Relationships</v>
      </c>
      <c r="E217" s="5" t="s">
        <v>196</v>
      </c>
      <c r="F217" s="6" t="s">
        <v>12</v>
      </c>
      <c r="G217" s="6"/>
      <c r="H217" s="6" t="s">
        <v>365</v>
      </c>
      <c r="I217" s="12" t="s">
        <v>366</v>
      </c>
    </row>
    <row r="218" spans="1:9" s="10" customFormat="1" ht="204">
      <c r="A218" s="1">
        <v>43546</v>
      </c>
      <c r="B218" s="4" t="str">
        <f>HYPERLINK("http://frenchhistorysociety.co.uk/","Society for the Study of French History")</f>
        <v>Society for the Study of French History</v>
      </c>
      <c r="C218" s="29" t="s">
        <v>15</v>
      </c>
      <c r="D218" s="4" t="str">
        <f>HYPERLINK("http://frenchhistorysociety.co.uk/visiting_scholars.htm","Visiting Scholars Scheme")</f>
        <v>Visiting Scholars Scheme</v>
      </c>
      <c r="E218" s="5" t="s">
        <v>196</v>
      </c>
      <c r="F218" s="6" t="s">
        <v>12</v>
      </c>
      <c r="G218" s="18"/>
      <c r="H218" s="6" t="s">
        <v>373</v>
      </c>
      <c r="I218" s="12" t="s">
        <v>374</v>
      </c>
    </row>
    <row r="219" spans="1:9" s="10" customFormat="1" ht="102">
      <c r="A219" s="1">
        <v>43497</v>
      </c>
      <c r="B219" s="20" t="str">
        <f>HYPERLINK("https://drclas.harvard.edu/","David Rockefeller Center  for Latin American Studies Harvard University")</f>
        <v>David Rockefeller Center  for Latin American Studies Harvard University</v>
      </c>
      <c r="C219" s="3" t="s">
        <v>8</v>
      </c>
      <c r="D219" s="4" t="str">
        <f>HYPERLINK("https://drclas.harvard.edu/pages/visiting-scholars","Visiting Scholar")</f>
        <v>Visiting Scholar</v>
      </c>
      <c r="E219" s="5" t="s">
        <v>335</v>
      </c>
      <c r="F219" s="6" t="s">
        <v>12</v>
      </c>
      <c r="G219" s="6"/>
      <c r="H219" s="6" t="s">
        <v>336</v>
      </c>
      <c r="I219" s="12" t="s">
        <v>337</v>
      </c>
    </row>
    <row r="220" spans="1:9" s="10" customFormat="1" ht="51">
      <c r="A220" s="1">
        <v>43313</v>
      </c>
      <c r="B220" s="4" t="str">
        <f>HYPERLINK("https://www.ncsu.edu/","North Carolina State University, Khayrallah Center for Lebanese Diaspora Studies")</f>
        <v>North Carolina State University, Khayrallah Center for Lebanese Diaspora Studies</v>
      </c>
      <c r="C220" s="3" t="s">
        <v>8</v>
      </c>
      <c r="D220" s="4" t="str">
        <f>HYPERLINK("https://lebanesestudies.ncsu.edu/awards/VisitingScholar.php","Visiting Scholar Grants")</f>
        <v>Visiting Scholar Grants</v>
      </c>
      <c r="E220" s="5" t="s">
        <v>58</v>
      </c>
      <c r="F220" s="6" t="s">
        <v>12</v>
      </c>
      <c r="G220" s="6"/>
      <c r="H220" s="6" t="s">
        <v>59</v>
      </c>
      <c r="I220" s="12" t="s">
        <v>60</v>
      </c>
    </row>
    <row r="221" spans="1:9" s="10" customFormat="1" ht="76.5">
      <c r="A221" s="1">
        <v>43359</v>
      </c>
      <c r="B221" s="4" t="str">
        <f>HYPERLINK("https://www.sqcc.org/","Sultan Qaboos Cultural Center")</f>
        <v>Sultan Qaboos Cultural Center</v>
      </c>
      <c r="C221" s="3" t="s">
        <v>15</v>
      </c>
      <c r="D221" s="4" t="str">
        <f>HYPERLINK("https://www.sqcc.org/Scholarships-0024-Fellowships/Research-Fellowship-Program.aspx","Sultan Qaboos Cultural Center’s Research Fellowship")</f>
        <v>Sultan Qaboos Cultural Center’s Research Fellowship</v>
      </c>
      <c r="E221" s="5" t="s">
        <v>58</v>
      </c>
      <c r="F221" s="6" t="s">
        <v>12</v>
      </c>
      <c r="G221" s="6"/>
      <c r="H221" s="6" t="s">
        <v>84</v>
      </c>
      <c r="I221" s="12" t="s">
        <v>85</v>
      </c>
    </row>
    <row r="222" spans="1:9" s="10" customFormat="1" ht="127.5">
      <c r="A222" s="1">
        <v>43404</v>
      </c>
      <c r="B222" s="14" t="str">
        <f>HYPERLINK("https://www.brandeis.edu/","Brandeis University")</f>
        <v>Brandeis University</v>
      </c>
      <c r="C222" s="3" t="s">
        <v>8</v>
      </c>
      <c r="D222" s="14" t="str">
        <f>HYPERLINK("https://www.brandeis.edu/israelcenter/support/postdoctoral.html","Postdoctoral Fellowship in Israel Studies ")</f>
        <v xml:space="preserve">Postdoctoral Fellowship in Israel Studies </v>
      </c>
      <c r="E222" s="5" t="s">
        <v>58</v>
      </c>
      <c r="F222" s="6" t="s">
        <v>12</v>
      </c>
      <c r="G222" s="6" t="s">
        <v>164</v>
      </c>
      <c r="H222" s="6" t="s">
        <v>165</v>
      </c>
      <c r="I222" s="12" t="s">
        <v>166</v>
      </c>
    </row>
    <row r="223" spans="1:9" s="10" customFormat="1" ht="63.75">
      <c r="A223" s="1">
        <v>43472</v>
      </c>
      <c r="B223" s="4" t="str">
        <f>HYPERLINK("http://parc-us-pal.org/","Palestinian American Research Center")</f>
        <v>Palestinian American Research Center</v>
      </c>
      <c r="C223" s="3" t="s">
        <v>15</v>
      </c>
      <c r="D223" s="4" t="str">
        <f>HYPERLINK("http://parc-us-pal.org/fellowship.htm","Fellowship for U.S. Scholars Conducting Field-Based Research on Palestine")</f>
        <v>Fellowship for U.S. Scholars Conducting Field-Based Research on Palestine</v>
      </c>
      <c r="E223" s="5" t="s">
        <v>58</v>
      </c>
      <c r="F223" s="6" t="s">
        <v>39</v>
      </c>
      <c r="G223" s="6"/>
      <c r="H223" s="6" t="s">
        <v>270</v>
      </c>
      <c r="I223" s="12" t="s">
        <v>271</v>
      </c>
    </row>
    <row r="224" spans="1:9" s="10" customFormat="1" ht="114.75">
      <c r="A224" s="37">
        <v>43480</v>
      </c>
      <c r="B224" s="4" t="str">
        <f>HYPERLINK("http://archive.arce.org/","American Research Center in Egypt")</f>
        <v>American Research Center in Egypt</v>
      </c>
      <c r="C224" s="3" t="s">
        <v>19</v>
      </c>
      <c r="D224" s="4" t="str">
        <f>HYPERLINK("http://archive.arce.org/grants/fellowships/funded","Fellowship")</f>
        <v>Fellowship</v>
      </c>
      <c r="E224" s="5" t="s">
        <v>58</v>
      </c>
      <c r="F224" s="6" t="s">
        <v>12</v>
      </c>
      <c r="G224" s="6"/>
      <c r="H224" s="6" t="s">
        <v>296</v>
      </c>
      <c r="I224" s="12" t="s">
        <v>297</v>
      </c>
    </row>
    <row r="225" spans="1:9" s="10" customFormat="1" ht="102">
      <c r="A225" s="1">
        <v>43481</v>
      </c>
      <c r="B225" s="4" t="str">
        <f>HYPERLINK("https://cmes.fas.harvard.edu/home","Center for Middle Eastern Studies, Harvard University")</f>
        <v>Center for Middle Eastern Studies, Harvard University</v>
      </c>
      <c r="C225" s="3" t="s">
        <v>8</v>
      </c>
      <c r="D225" s="4" t="str">
        <f>HYPERLINK("https://cmes.fas.harvard.edu/vr-program","Visiting Researcher Program")</f>
        <v>Visiting Researcher Program</v>
      </c>
      <c r="E225" s="5" t="s">
        <v>58</v>
      </c>
      <c r="F225" s="6" t="s">
        <v>12</v>
      </c>
      <c r="G225" s="6"/>
      <c r="H225" s="6" t="s">
        <v>197</v>
      </c>
      <c r="I225" s="12" t="s">
        <v>301</v>
      </c>
    </row>
    <row r="226" spans="1:9" s="10" customFormat="1" ht="191.25">
      <c r="A226" s="1">
        <v>43497</v>
      </c>
      <c r="B226" s="4" t="str">
        <f>HYPERLINK("https://ilsp.law.harvard.edu/","Harvard Law School Islamic Legal Studies Program")</f>
        <v>Harvard Law School Islamic Legal Studies Program</v>
      </c>
      <c r="C226" s="3" t="s">
        <v>15</v>
      </c>
      <c r="D226" s="4" t="str">
        <f>HYPERLINK("http://ilsp.law.harvard.edu/how-to-apply/","Visiting Fellowship")</f>
        <v>Visiting Fellowship</v>
      </c>
      <c r="E226" s="5" t="s">
        <v>58</v>
      </c>
      <c r="F226" s="6" t="s">
        <v>12</v>
      </c>
      <c r="G226" s="5"/>
      <c r="H226" s="6" t="s">
        <v>338</v>
      </c>
      <c r="I226" s="12" t="s">
        <v>339</v>
      </c>
    </row>
    <row r="227" spans="1:9" s="10" customFormat="1" ht="102">
      <c r="A227" s="1" t="s">
        <v>102</v>
      </c>
      <c r="B227" s="4" t="str">
        <f>HYPERLINK("https://dayan.org/","Tel Aviv University")</f>
        <v>Tel Aviv University</v>
      </c>
      <c r="C227" s="3" t="s">
        <v>8</v>
      </c>
      <c r="D227" s="4" t="str">
        <f>HYPERLINK("http://dayan.org/visiting-scholars","Visiting Scholars")</f>
        <v>Visiting Scholars</v>
      </c>
      <c r="E227" s="5" t="s">
        <v>58</v>
      </c>
      <c r="F227" s="6" t="s">
        <v>12</v>
      </c>
      <c r="G227" s="6"/>
      <c r="H227" s="6" t="s">
        <v>197</v>
      </c>
      <c r="I227" s="12" t="s">
        <v>536</v>
      </c>
    </row>
    <row r="228" spans="1:9" s="10" customFormat="1" ht="140.25">
      <c r="A228" s="54">
        <v>43709</v>
      </c>
      <c r="B228" s="60" t="str">
        <f>HYPERLINK("https://www.wilsoncenter.org/","Wilson Center")</f>
        <v>Wilson Center</v>
      </c>
      <c r="C228" s="55" t="s">
        <v>15</v>
      </c>
      <c r="D228" s="60" t="str">
        <f>HYPERLINK("https://www.wilsoncenter.org/opportunity/george-f-kennan-fellowship","George F. Kennan Fellowship")</f>
        <v>George F. Kennan Fellowship</v>
      </c>
      <c r="E228" s="56" t="s">
        <v>449</v>
      </c>
      <c r="F228" s="57" t="s">
        <v>12</v>
      </c>
      <c r="G228" s="57"/>
      <c r="H228" s="57" t="s">
        <v>450</v>
      </c>
      <c r="I228" s="58" t="s">
        <v>451</v>
      </c>
    </row>
    <row r="229" spans="1:9" s="10" customFormat="1" ht="140.25">
      <c r="A229" s="79">
        <v>43525</v>
      </c>
      <c r="B229" s="80" t="s">
        <v>564</v>
      </c>
      <c r="C229" s="81" t="s">
        <v>8</v>
      </c>
      <c r="D229" s="80" t="s">
        <v>565</v>
      </c>
      <c r="E229" s="82" t="s">
        <v>566</v>
      </c>
      <c r="F229" s="82" t="s">
        <v>12</v>
      </c>
      <c r="G229" s="82"/>
      <c r="H229" s="82" t="s">
        <v>567</v>
      </c>
      <c r="I229" s="83" t="s">
        <v>568</v>
      </c>
    </row>
    <row r="230" spans="1:9" s="10" customFormat="1" ht="38.25">
      <c r="A230" s="71">
        <v>43524</v>
      </c>
      <c r="B230" s="72" t="str">
        <f>HYPERLINK("https://www2.archivists.org","Society of American Archivists")</f>
        <v>Society of American Archivists</v>
      </c>
      <c r="C230" s="73" t="s">
        <v>15</v>
      </c>
      <c r="D230" s="74" t="str">
        <f>HYPERLINK("https://www2.archivists.org/governance/handbook/section12-fellows","Fellows")</f>
        <v>Fellows</v>
      </c>
      <c r="E230" s="75" t="s">
        <v>69</v>
      </c>
      <c r="F230" s="75" t="s">
        <v>25</v>
      </c>
      <c r="G230" s="76"/>
      <c r="H230" s="76"/>
      <c r="I230" s="77" t="s">
        <v>353</v>
      </c>
    </row>
    <row r="231" spans="1:9" s="10" customFormat="1" ht="153">
      <c r="A231" s="1">
        <v>43360</v>
      </c>
      <c r="B231" s="4" t="str">
        <f>HYPERLINK("https://sloan.org/","Alfred P. Sloan Foundation")</f>
        <v>Alfred P. Sloan Foundation</v>
      </c>
      <c r="C231" s="3" t="s">
        <v>57</v>
      </c>
      <c r="D231" s="13" t="s">
        <v>86</v>
      </c>
      <c r="E231" s="5" t="s">
        <v>20</v>
      </c>
      <c r="F231" s="6" t="s">
        <v>25</v>
      </c>
      <c r="G231" s="6" t="s">
        <v>55</v>
      </c>
      <c r="H231" s="7">
        <v>65000</v>
      </c>
      <c r="I231" s="12" t="s">
        <v>592</v>
      </c>
    </row>
    <row r="232" spans="1:9" s="10" customFormat="1" ht="153">
      <c r="A232" s="1">
        <v>43404</v>
      </c>
      <c r="B232" s="69" t="str">
        <f>HYPERLINK("http://www.nationalacademies.org/","National Academies of Science, Engineering, Medicine")</f>
        <v>National Academies of Science, Engineering, Medicine</v>
      </c>
      <c r="C232" s="3" t="s">
        <v>15</v>
      </c>
      <c r="D232" s="70" t="s">
        <v>167</v>
      </c>
      <c r="E232" s="5" t="s">
        <v>20</v>
      </c>
      <c r="F232" s="6" t="s">
        <v>12</v>
      </c>
      <c r="G232" s="6"/>
      <c r="H232" s="7">
        <v>50000</v>
      </c>
      <c r="I232" s="67" t="s">
        <v>168</v>
      </c>
    </row>
    <row r="233" spans="1:9" s="10" customFormat="1" ht="127.5">
      <c r="A233" s="1">
        <v>43405</v>
      </c>
      <c r="B233" s="14" t="str">
        <f>HYPERLINK("https://www.aaas.org/","American Association for the Advancement of Science")</f>
        <v>American Association for the Advancement of Science</v>
      </c>
      <c r="C233" s="3" t="s">
        <v>15</v>
      </c>
      <c r="D233" s="14" t="str">
        <f>HYPERLINK("https://www.aaas.org/page/stpf/become-st-policy-fellow","Science and Technology Fellows")</f>
        <v>Science and Technology Fellows</v>
      </c>
      <c r="E233" s="5" t="s">
        <v>20</v>
      </c>
      <c r="F233" s="6" t="s">
        <v>12</v>
      </c>
      <c r="G233" s="6" t="s">
        <v>92</v>
      </c>
      <c r="H233" s="7" t="s">
        <v>178</v>
      </c>
      <c r="I233" s="12" t="s">
        <v>179</v>
      </c>
    </row>
    <row r="234" spans="1:9" s="10" customFormat="1" ht="229.5">
      <c r="A234" s="1">
        <v>43419</v>
      </c>
      <c r="B234" s="4" t="str">
        <f>HYPERLINK("https://www.sns.ias.edu/","Institute for Advanced Study (IAS), School of Natural Sciences")</f>
        <v>Institute for Advanced Study (IAS), School of Natural Sciences</v>
      </c>
      <c r="C234" s="3" t="s">
        <v>8</v>
      </c>
      <c r="D234" s="13" t="s">
        <v>225</v>
      </c>
      <c r="E234" s="5" t="s">
        <v>20</v>
      </c>
      <c r="F234" s="5" t="s">
        <v>25</v>
      </c>
      <c r="G234" s="6"/>
      <c r="H234" s="6"/>
      <c r="I234" s="67" t="s">
        <v>613</v>
      </c>
    </row>
    <row r="235" spans="1:9" s="10" customFormat="1" ht="140.25">
      <c r="A235" s="1">
        <v>43473</v>
      </c>
      <c r="B235" s="4" t="str">
        <f>HYPERLINK("https://www.kinshipfellows.org/","Kinship Conservation")</f>
        <v>Kinship Conservation</v>
      </c>
      <c r="C235" s="3" t="s">
        <v>15</v>
      </c>
      <c r="D235" s="20" t="str">
        <f>HYPERLINK("https://www.kinshipfellows.org/program/become-a-fellow","Fellows ")</f>
        <v xml:space="preserve">Fellows </v>
      </c>
      <c r="E235" s="5" t="s">
        <v>20</v>
      </c>
      <c r="F235" s="6" t="s">
        <v>12</v>
      </c>
      <c r="G235" s="5" t="s">
        <v>272</v>
      </c>
      <c r="H235" s="6" t="s">
        <v>273</v>
      </c>
      <c r="I235" s="12" t="s">
        <v>274</v>
      </c>
    </row>
    <row r="236" spans="1:9" s="10" customFormat="1" ht="76.5">
      <c r="A236" s="1">
        <v>43511</v>
      </c>
      <c r="B236" s="4" t="str">
        <f>HYPERLINK("http://www.klingfund.org/index.php","Esther A. &amp; Joseph Klingenstein Fund")</f>
        <v>Esther A. &amp; Joseph Klingenstein Fund</v>
      </c>
      <c r="C236" s="3" t="s">
        <v>8</v>
      </c>
      <c r="D236" s="13" t="s">
        <v>345</v>
      </c>
      <c r="E236" s="5" t="s">
        <v>20</v>
      </c>
      <c r="F236" s="6" t="s">
        <v>25</v>
      </c>
      <c r="G236" s="5" t="s">
        <v>71</v>
      </c>
      <c r="H236" s="6" t="s">
        <v>346</v>
      </c>
      <c r="I236" s="12" t="s">
        <v>593</v>
      </c>
    </row>
    <row r="237" spans="1:9" s="10" customFormat="1" ht="51">
      <c r="A237" s="5" t="s">
        <v>544</v>
      </c>
      <c r="B237" s="4" t="str">
        <f>HYPERLINK("https://www.axa-research.org/","AXA Research Fund")</f>
        <v>AXA Research Fund</v>
      </c>
      <c r="C237" s="3" t="s">
        <v>15</v>
      </c>
      <c r="D237" s="13" t="str">
        <f>HYPERLINK("https://www.axa-research.org/en/page/AXA-Fellowships","AXA Fellowships")</f>
        <v>AXA Fellowships</v>
      </c>
      <c r="E237" s="5" t="s">
        <v>20</v>
      </c>
      <c r="F237" s="5" t="s">
        <v>25</v>
      </c>
      <c r="G237" s="6" t="s">
        <v>548</v>
      </c>
      <c r="H237" s="7" t="s">
        <v>549</v>
      </c>
      <c r="I237" s="12" t="s">
        <v>550</v>
      </c>
    </row>
    <row r="238" spans="1:9" s="10" customFormat="1" ht="191.25">
      <c r="A238" s="1">
        <v>43405</v>
      </c>
      <c r="B238" s="14" t="str">
        <f>HYPERLINK("https://science.nrao.edu","National Radio Astronomy Observatory")</f>
        <v>National Radio Astronomy Observatory</v>
      </c>
      <c r="C238" s="3" t="s">
        <v>29</v>
      </c>
      <c r="D238" s="16" t="str">
        <f>HYPERLINK("https://science.nrao.edu/opportunities/postdoctoral-programs/jansky","Jansky Fellowship")</f>
        <v>Jansky Fellowship</v>
      </c>
      <c r="E238" s="5" t="s">
        <v>199</v>
      </c>
      <c r="F238" s="6" t="s">
        <v>200</v>
      </c>
      <c r="G238" s="6"/>
      <c r="H238" s="6"/>
      <c r="I238" s="12" t="s">
        <v>201</v>
      </c>
    </row>
    <row r="239" spans="1:9" s="10" customFormat="1" ht="140.25">
      <c r="A239" s="1">
        <v>43266</v>
      </c>
      <c r="B239" s="4" t="str">
        <f>HYPERLINK("https://www.simonsfoundation.org/","Simons Foundation")</f>
        <v>Simons Foundation</v>
      </c>
      <c r="C239" s="3" t="s">
        <v>15</v>
      </c>
      <c r="D239" s="20" t="str">
        <f>HYPERLINK("https://www.simonsfoundation.org/grant/simons-postdoctoral-fellowships-in-marine-microbial-ecology/","Fellowships in Marine Microbial Ecology")</f>
        <v>Fellowships in Marine Microbial Ecology</v>
      </c>
      <c r="E239" s="5" t="s">
        <v>49</v>
      </c>
      <c r="F239" s="6" t="s">
        <v>25</v>
      </c>
      <c r="G239" s="6" t="s">
        <v>50</v>
      </c>
      <c r="H239" s="6" t="s">
        <v>51</v>
      </c>
      <c r="I239" s="12" t="s">
        <v>52</v>
      </c>
    </row>
    <row r="240" spans="1:9" s="10" customFormat="1" ht="293.25">
      <c r="A240" s="1">
        <v>43350</v>
      </c>
      <c r="B240" s="4" t="str">
        <f>HYPERLINK("https://www.nature.org/?intc=nature.tnav.logo","Nature Conservancy")</f>
        <v>Nature Conservancy</v>
      </c>
      <c r="C240" s="3" t="s">
        <v>15</v>
      </c>
      <c r="D240" s="20" t="str">
        <f>HYPERLINK("https://www.nature.org/en-us/about-us/who-we-are/our-science/naturenet-science-fellowships/","NatureNet Science Fellow Program")</f>
        <v>NatureNet Science Fellow Program</v>
      </c>
      <c r="E240" s="5" t="s">
        <v>49</v>
      </c>
      <c r="F240" s="6" t="s">
        <v>39</v>
      </c>
      <c r="G240" s="6" t="s">
        <v>71</v>
      </c>
      <c r="H240" s="6"/>
      <c r="I240" s="12" t="s">
        <v>72</v>
      </c>
    </row>
    <row r="241" spans="1:9" s="10" customFormat="1" ht="165.75">
      <c r="A241" s="1">
        <v>43719</v>
      </c>
      <c r="B241" s="13" t="str">
        <f>HYPERLINK("https://www.nsf.gov/","National Science Foundation")</f>
        <v>National Science Foundation</v>
      </c>
      <c r="C241" s="3" t="s">
        <v>19</v>
      </c>
      <c r="D241" s="20" t="str">
        <f>HYPERLINK("https://www.nsf.gov/funding/pgm_summ.jsp?pims_id=503144","Division of Earth Sciences Postdoctoral Fellowships")</f>
        <v>Division of Earth Sciences Postdoctoral Fellowships</v>
      </c>
      <c r="E241" s="5" t="s">
        <v>49</v>
      </c>
      <c r="F241" s="5" t="s">
        <v>25</v>
      </c>
      <c r="G241" s="6" t="s">
        <v>71</v>
      </c>
      <c r="H241" s="6"/>
      <c r="I241" s="12" t="s">
        <v>452</v>
      </c>
    </row>
    <row r="242" spans="1:9" s="10" customFormat="1" ht="216.75">
      <c r="A242" s="1">
        <v>43773</v>
      </c>
      <c r="B242" s="13" t="str">
        <f>HYPERLINK("https://www.nsf.gov/","National Science Foundation")</f>
        <v>National Science Foundation</v>
      </c>
      <c r="C242" s="3" t="s">
        <v>19</v>
      </c>
      <c r="D242" s="20" t="str">
        <f>HYPERLINK("https://www.nsf.gov/funding/pgm_summ.jsp?pims_id=503622","Directorate for Biological Sciences Awards Postdoctoral Research Fellowships in Biology")</f>
        <v>Directorate for Biological Sciences Awards Postdoctoral Research Fellowships in Biology</v>
      </c>
      <c r="E242" s="5" t="s">
        <v>49</v>
      </c>
      <c r="F242" s="5" t="s">
        <v>25</v>
      </c>
      <c r="G242" s="6" t="s">
        <v>71</v>
      </c>
      <c r="H242" s="6"/>
      <c r="I242" s="12" t="s">
        <v>491</v>
      </c>
    </row>
    <row r="243" spans="1:9" s="10" customFormat="1" ht="204">
      <c r="A243" s="5" t="s">
        <v>544</v>
      </c>
      <c r="B243" s="3" t="s">
        <v>551</v>
      </c>
      <c r="C243" s="3" t="s">
        <v>15</v>
      </c>
      <c r="D243" s="4" t="str">
        <f>HYPERLINK("http://ritaallen.org/apply/","Rita Allen Scholars Program")</f>
        <v>Rita Allen Scholars Program</v>
      </c>
      <c r="E243" s="5" t="s">
        <v>558</v>
      </c>
      <c r="F243" s="5" t="s">
        <v>25</v>
      </c>
      <c r="G243" s="5"/>
      <c r="H243" s="6"/>
      <c r="I243" s="12" t="s">
        <v>614</v>
      </c>
    </row>
    <row r="244" spans="1:9" s="10" customFormat="1" ht="114.75">
      <c r="A244" s="5" t="s">
        <v>519</v>
      </c>
      <c r="B244" s="4" t="str">
        <f>HYPERLINK("nih.gov","National Institutes of Health")</f>
        <v>National Institutes of Health</v>
      </c>
      <c r="C244" s="3" t="s">
        <v>19</v>
      </c>
      <c r="D244" s="4" t="str">
        <f>HYPERLINK("https://grants.nih.gov/grants/guide/pa-files/PA-16-310.html","Individual Fellowships for Senior Fellows (F33)")</f>
        <v>Individual Fellowships for Senior Fellows (F33)</v>
      </c>
      <c r="E244" s="5" t="s">
        <v>146</v>
      </c>
      <c r="F244" s="6" t="s">
        <v>25</v>
      </c>
      <c r="G244" s="6" t="s">
        <v>520</v>
      </c>
      <c r="H244" s="6"/>
      <c r="I244" s="12" t="s">
        <v>521</v>
      </c>
    </row>
    <row r="245" spans="1:9" s="10" customFormat="1" ht="114.75">
      <c r="A245" s="1">
        <v>43411</v>
      </c>
      <c r="B245" s="13" t="str">
        <f>HYPERLINK("https://www.rwjf.org/","Robert Wood Johnson Foundation")</f>
        <v>Robert Wood Johnson Foundation</v>
      </c>
      <c r="C245" s="3" t="s">
        <v>15</v>
      </c>
      <c r="D245" s="20" t="str">
        <f>HYPERLINK("https://www.rwjf.org/en/library/funding-opportunities/2018/robert-wood-johnson-foundation-health-policy-fellows.html","Health Policy Fellows")</f>
        <v>Health Policy Fellows</v>
      </c>
      <c r="E245" s="5" t="s">
        <v>220</v>
      </c>
      <c r="F245" s="6" t="s">
        <v>12</v>
      </c>
      <c r="G245" s="6" t="s">
        <v>221</v>
      </c>
      <c r="H245" s="6" t="s">
        <v>222</v>
      </c>
      <c r="I245" s="12" t="s">
        <v>223</v>
      </c>
    </row>
    <row r="246" spans="1:9" s="10" customFormat="1" ht="114.75">
      <c r="A246" s="1">
        <v>43467</v>
      </c>
      <c r="B246" s="4" t="str">
        <f>HYPERLINK("https://www.sciencehistory.org/","Science History Institute")</f>
        <v>Science History Institute</v>
      </c>
      <c r="C246" s="3" t="s">
        <v>15</v>
      </c>
      <c r="D246" s="13" t="s">
        <v>32</v>
      </c>
      <c r="E246" s="5" t="s">
        <v>260</v>
      </c>
      <c r="F246" s="6" t="s">
        <v>12</v>
      </c>
      <c r="G246" s="5" t="s">
        <v>63</v>
      </c>
      <c r="H246" s="7" t="s">
        <v>261</v>
      </c>
      <c r="I246" s="12" t="s">
        <v>262</v>
      </c>
    </row>
    <row r="247" spans="1:9" s="10" customFormat="1" ht="127.5">
      <c r="A247" s="1">
        <v>43370</v>
      </c>
      <c r="B247" s="4" t="str">
        <f>HYPERLINK("https://www.simonsfoundation.org/","Simons Foundation")</f>
        <v>Simons Foundation</v>
      </c>
      <c r="C247" s="3" t="s">
        <v>15</v>
      </c>
      <c r="D247" s="4" t="str">
        <f>HYPERLINK("https://www.simonsfoundation.org/mathematics-physical-sciences/simons-fellows/","Simons Fellows in Mathematics")</f>
        <v>Simons Fellows in Mathematics</v>
      </c>
      <c r="E247" s="5" t="s">
        <v>70</v>
      </c>
      <c r="F247" s="6" t="s">
        <v>25</v>
      </c>
      <c r="G247" s="6"/>
      <c r="H247" s="6" t="s">
        <v>98</v>
      </c>
      <c r="I247" s="12" t="s">
        <v>594</v>
      </c>
    </row>
    <row r="248" spans="1:9" s="10" customFormat="1" ht="127.5">
      <c r="A248" s="1">
        <v>43370</v>
      </c>
      <c r="B248" s="4" t="str">
        <f>HYPERLINK("https://www.simonsfoundation.org/","Simons Foundation")</f>
        <v>Simons Foundation</v>
      </c>
      <c r="C248" s="3" t="s">
        <v>15</v>
      </c>
      <c r="D248" s="4" t="str">
        <f>HYPERLINK("https://www.simonsfoundation.org/mathematics-physical-sciences/simons-fellows/","Simons Fellows in Theoretical Physics")</f>
        <v>Simons Fellows in Theoretical Physics</v>
      </c>
      <c r="E248" s="5" t="s">
        <v>70</v>
      </c>
      <c r="F248" s="6" t="s">
        <v>25</v>
      </c>
      <c r="G248" s="6"/>
      <c r="H248" s="6" t="s">
        <v>99</v>
      </c>
      <c r="I248" s="12" t="s">
        <v>595</v>
      </c>
    </row>
    <row r="249" spans="1:9" s="10" customFormat="1" ht="165.75">
      <c r="A249" s="1">
        <v>43405</v>
      </c>
      <c r="B249" s="14" t="str">
        <f>HYPERLINK("http://www.stsci.edu/","Space Telescope Science Institute")</f>
        <v>Space Telescope Science Institute</v>
      </c>
      <c r="C249" s="3" t="s">
        <v>29</v>
      </c>
      <c r="D249" s="17" t="s">
        <v>202</v>
      </c>
      <c r="E249" s="5" t="s">
        <v>70</v>
      </c>
      <c r="F249" s="6" t="s">
        <v>25</v>
      </c>
      <c r="G249" s="6"/>
      <c r="H249" s="6"/>
      <c r="I249" s="12" t="s">
        <v>596</v>
      </c>
    </row>
    <row r="250" spans="1:9" s="10" customFormat="1" ht="204">
      <c r="A250" s="1">
        <v>43480</v>
      </c>
      <c r="B250" s="4" t="str">
        <f>HYPERLINK("https://www.aps.org/","American Physical Society")</f>
        <v>American Physical Society</v>
      </c>
      <c r="C250" s="3" t="s">
        <v>15</v>
      </c>
      <c r="D250" s="13" t="s">
        <v>298</v>
      </c>
      <c r="E250" s="5" t="s">
        <v>70</v>
      </c>
      <c r="F250" s="6" t="s">
        <v>12</v>
      </c>
      <c r="G250" s="9"/>
      <c r="H250" s="6"/>
      <c r="I250" s="12" t="s">
        <v>299</v>
      </c>
    </row>
    <row r="251" spans="1:9" s="10" customFormat="1" ht="89.25">
      <c r="A251" s="1">
        <v>43619</v>
      </c>
      <c r="B251" s="20" t="str">
        <f>HYPERLINK("https://www.aps.org","American Physical Society")</f>
        <v>American Physical Society</v>
      </c>
      <c r="C251" s="3" t="s">
        <v>15</v>
      </c>
      <c r="D251" s="4" t="str">
        <f>HYPERLINK("http://www.aps.org/programs/honors/fellowships/","APS Fellows")</f>
        <v>APS Fellows</v>
      </c>
      <c r="E251" s="5" t="s">
        <v>70</v>
      </c>
      <c r="F251" s="5" t="s">
        <v>25</v>
      </c>
      <c r="G251" s="6"/>
      <c r="H251" s="6"/>
      <c r="I251" s="67" t="s">
        <v>426</v>
      </c>
    </row>
    <row r="252" spans="1:9" s="10" customFormat="1" ht="102">
      <c r="A252" s="1">
        <v>43480</v>
      </c>
      <c r="B252" s="4" t="str">
        <f>HYPERLINK("http://www.cattell.duke.edu/","James McKeen Cattell Fund, Duke Univeristy")</f>
        <v>James McKeen Cattell Fund, Duke Univeristy</v>
      </c>
      <c r="C252" s="3" t="s">
        <v>8</v>
      </c>
      <c r="D252" s="4" t="str">
        <f>HYPERLINK("http://www.cattell.duke.edu/","Fellowships")</f>
        <v>Fellowships</v>
      </c>
      <c r="E252" s="5" t="s">
        <v>171</v>
      </c>
      <c r="F252" s="5" t="s">
        <v>25</v>
      </c>
      <c r="G252" s="6"/>
      <c r="H252" s="7"/>
      <c r="I252" s="8" t="s">
        <v>597</v>
      </c>
    </row>
    <row r="253" spans="1:9" s="10" customFormat="1" ht="229.5">
      <c r="A253" s="1">
        <v>43252</v>
      </c>
      <c r="B253" s="4" t="str">
        <f>HYPERLINK("https://www.austenriggs.org/erikson-scholar-program","Austen Riggs Center")</f>
        <v>Austen Riggs Center</v>
      </c>
      <c r="C253" s="3" t="s">
        <v>15</v>
      </c>
      <c r="D253" s="13" t="s">
        <v>42</v>
      </c>
      <c r="E253" s="5" t="s">
        <v>43</v>
      </c>
      <c r="F253" s="6" t="s">
        <v>12</v>
      </c>
      <c r="G253" s="6"/>
      <c r="H253" s="6" t="s">
        <v>44</v>
      </c>
      <c r="I253" s="12" t="s">
        <v>45</v>
      </c>
    </row>
    <row r="254" spans="1:9" s="10" customFormat="1" ht="216.75">
      <c r="A254" s="1">
        <v>43471</v>
      </c>
      <c r="B254" s="4" t="str">
        <f>HYPERLINK("http://www.apa.org/apf/","American Psychological Association")</f>
        <v>American Psychological Association</v>
      </c>
      <c r="C254" s="3" t="s">
        <v>15</v>
      </c>
      <c r="D254" s="13" t="s">
        <v>264</v>
      </c>
      <c r="E254" s="5" t="s">
        <v>43</v>
      </c>
      <c r="F254" s="6" t="s">
        <v>12</v>
      </c>
      <c r="G254" s="5"/>
      <c r="H254" s="6" t="s">
        <v>265</v>
      </c>
      <c r="I254" s="12" t="s">
        <v>266</v>
      </c>
    </row>
    <row r="255" spans="1:9" s="10" customFormat="1" ht="178.5">
      <c r="A255" s="1">
        <v>43374</v>
      </c>
      <c r="B255" s="14" t="str">
        <f>HYPERLINK("https://kellogg.nd.edu/","Kellogg Institute, University of Notre Dame")</f>
        <v>Kellogg Institute, University of Notre Dame</v>
      </c>
      <c r="C255" s="3" t="s">
        <v>8</v>
      </c>
      <c r="D255" s="17" t="s">
        <v>107</v>
      </c>
      <c r="E255" s="5" t="s">
        <v>108</v>
      </c>
      <c r="F255" s="6" t="s">
        <v>12</v>
      </c>
      <c r="G255" s="6"/>
      <c r="H255" s="6" t="s">
        <v>109</v>
      </c>
      <c r="I255" s="12" t="s">
        <v>110</v>
      </c>
    </row>
    <row r="256" spans="1:9" s="10" customFormat="1" ht="191.25">
      <c r="A256" s="11">
        <v>43381</v>
      </c>
      <c r="B256" s="14" t="str">
        <f>HYPERLINK("https://www.srf.org/","Smith Richardson Foundation")</f>
        <v>Smith Richardson Foundation</v>
      </c>
      <c r="C256" s="3" t="s">
        <v>15</v>
      </c>
      <c r="D256" s="14" t="str">
        <f>HYPERLINK("https://www.srf.org/programs/international-security-foreign-policy/world-politics-statecraft-fellowship/","World Politics and Statecraft Fellowship")</f>
        <v>World Politics and Statecraft Fellowship</v>
      </c>
      <c r="E256" s="5" t="s">
        <v>108</v>
      </c>
      <c r="F256" s="5" t="s">
        <v>25</v>
      </c>
      <c r="G256" s="6"/>
      <c r="H256" s="7">
        <v>7500</v>
      </c>
      <c r="I256" s="12" t="s">
        <v>615</v>
      </c>
    </row>
    <row r="257" spans="1:9" s="10" customFormat="1" ht="76.5">
      <c r="A257" s="1">
        <v>43388</v>
      </c>
      <c r="B257" s="14" t="str">
        <f>HYPERLINK("https://www.ned.org/","National Endowment for Democracy")</f>
        <v>National Endowment for Democracy</v>
      </c>
      <c r="C257" s="3" t="s">
        <v>15</v>
      </c>
      <c r="D257" s="16" t="str">
        <f>HYPERLINK("https://www.ned.org/fellowships/reagan-fascell-democracy-fellows-program/","Reagan-Fascell Democracy Fellowship")</f>
        <v>Reagan-Fascell Democracy Fellowship</v>
      </c>
      <c r="E257" s="5" t="s">
        <v>108</v>
      </c>
      <c r="F257" s="6" t="s">
        <v>12</v>
      </c>
      <c r="G257" s="6"/>
      <c r="H257" s="6"/>
      <c r="I257" s="12" t="s">
        <v>145</v>
      </c>
    </row>
    <row r="258" spans="1:9" s="10" customFormat="1" ht="114.75">
      <c r="A258" s="1">
        <v>43404</v>
      </c>
      <c r="B258" s="14" t="str">
        <f>HYPERLINK("https://www.cfr.org/","Council on Foreign Relations")</f>
        <v>Council on Foreign Relations</v>
      </c>
      <c r="C258" s="3" t="s">
        <v>15</v>
      </c>
      <c r="D258" s="17" t="s">
        <v>169</v>
      </c>
      <c r="E258" s="5" t="s">
        <v>108</v>
      </c>
      <c r="F258" s="6" t="s">
        <v>12</v>
      </c>
      <c r="G258" s="6" t="s">
        <v>76</v>
      </c>
      <c r="H258" s="7">
        <v>100000</v>
      </c>
      <c r="I258" s="12" t="s">
        <v>170</v>
      </c>
    </row>
    <row r="259" spans="1:9" s="10" customFormat="1" ht="153">
      <c r="A259" s="1">
        <v>43406</v>
      </c>
      <c r="B259" s="14" t="str">
        <f>HYPERLINK("https://casbs.stanford.edu/","Center for Advance Study of Behavioral Science--Stanford")</f>
        <v>Center for Advance Study of Behavioral Science--Stanford</v>
      </c>
      <c r="C259" s="3" t="s">
        <v>8</v>
      </c>
      <c r="D259" s="17" t="s">
        <v>213</v>
      </c>
      <c r="E259" s="5" t="s">
        <v>108</v>
      </c>
      <c r="F259" s="6" t="s">
        <v>12</v>
      </c>
      <c r="G259" s="6"/>
      <c r="H259" s="6" t="s">
        <v>214</v>
      </c>
      <c r="I259" s="12" t="s">
        <v>215</v>
      </c>
    </row>
    <row r="260" spans="1:9" s="10" customFormat="1" ht="127.5">
      <c r="A260" s="11">
        <v>43554</v>
      </c>
      <c r="B260" s="2" t="str">
        <f>HYPERLINK("https://www.eui.eu/","European University Institute")</f>
        <v>European University Institute</v>
      </c>
      <c r="C260" s="3" t="s">
        <v>300</v>
      </c>
      <c r="D260" s="2" t="str">
        <f>HYPERLINK("https://www.eui.eu/ServicesAndAdmin/AcademicService/Fellowships/FernandBraudelSeniorFellowships","Fernand Braudel Senior Fellowships")</f>
        <v>Fernand Braudel Senior Fellowships</v>
      </c>
      <c r="E260" s="5" t="s">
        <v>108</v>
      </c>
      <c r="F260" s="5" t="s">
        <v>25</v>
      </c>
      <c r="G260" s="6" t="s">
        <v>121</v>
      </c>
      <c r="H260" s="7" t="s">
        <v>377</v>
      </c>
      <c r="I260" s="12" t="s">
        <v>378</v>
      </c>
    </row>
    <row r="261" spans="1:9" s="10" customFormat="1" ht="178.5">
      <c r="A261" s="1">
        <v>43643</v>
      </c>
      <c r="B261" s="4" t="str">
        <f>HYPERLINK("http://www.russellsage.org/","Russell Sage Foundation")</f>
        <v>Russell Sage Foundation</v>
      </c>
      <c r="C261" s="3" t="s">
        <v>15</v>
      </c>
      <c r="D261" s="13" t="s">
        <v>267</v>
      </c>
      <c r="E261" s="5" t="s">
        <v>108</v>
      </c>
      <c r="F261" s="6" t="s">
        <v>12</v>
      </c>
      <c r="G261" s="6" t="s">
        <v>430</v>
      </c>
      <c r="H261" s="6" t="s">
        <v>218</v>
      </c>
      <c r="I261" s="12" t="s">
        <v>431</v>
      </c>
    </row>
    <row r="262" spans="1:9" s="10" customFormat="1" ht="140.25">
      <c r="A262" s="1">
        <v>43586</v>
      </c>
      <c r="B262" s="4" t="str">
        <f>HYPERLINK("http://www.wennergren.org/","Wenner Gren Foundation")</f>
        <v>Wenner Gren Foundation</v>
      </c>
      <c r="C262" s="3" t="s">
        <v>15</v>
      </c>
      <c r="D262" s="13" t="s">
        <v>411</v>
      </c>
      <c r="E262" s="5" t="s">
        <v>412</v>
      </c>
      <c r="F262" s="18" t="s">
        <v>25</v>
      </c>
      <c r="G262" s="18"/>
      <c r="H262" s="6" t="s">
        <v>71</v>
      </c>
      <c r="I262" s="12" t="s">
        <v>413</v>
      </c>
    </row>
    <row r="263" spans="1:9" s="10" customFormat="1" ht="76.5">
      <c r="A263" s="1">
        <v>43770</v>
      </c>
      <c r="B263" s="4" t="str">
        <f>HYPERLINK("https://www.archaeological.org","Archaeological Institute of America")</f>
        <v>Archaeological Institute of America</v>
      </c>
      <c r="C263" s="3" t="s">
        <v>15</v>
      </c>
      <c r="D263" s="23" t="str">
        <f>HYPERLINK("https://www.archaeological.org/grants/701","Helen M. Woodruff Fellowship of the AIA and the American Academy in Rome")</f>
        <v>Helen M. Woodruff Fellowship of the AIA and the American Academy in Rome</v>
      </c>
      <c r="E263" s="5" t="s">
        <v>412</v>
      </c>
      <c r="F263" s="6" t="s">
        <v>12</v>
      </c>
      <c r="G263" s="6"/>
      <c r="H263" s="7">
        <v>10000</v>
      </c>
      <c r="I263" s="12" t="s">
        <v>488</v>
      </c>
    </row>
    <row r="264" spans="1:9" s="10" customFormat="1" ht="178.5">
      <c r="A264" s="1">
        <v>43574</v>
      </c>
      <c r="B264" s="4" t="str">
        <f>HYPERLINK("https://lgbts.yale.edu/","Yale LGBT Studies")</f>
        <v>Yale LGBT Studies</v>
      </c>
      <c r="C264" s="3"/>
      <c r="D264" s="13" t="s">
        <v>399</v>
      </c>
      <c r="E264" s="5" t="s">
        <v>400</v>
      </c>
      <c r="F264" s="6" t="s">
        <v>12</v>
      </c>
      <c r="G264" s="18"/>
      <c r="H264" s="7">
        <v>4000</v>
      </c>
      <c r="I264" s="12" t="s">
        <v>401</v>
      </c>
    </row>
    <row r="265" spans="1:9" s="10" customFormat="1" ht="127.5">
      <c r="A265" s="1">
        <v>43496</v>
      </c>
      <c r="B265" s="4" t="str">
        <f>HYPERLINK("https://www.wilsoncenter.org/","Wilson Center")</f>
        <v>Wilson Center</v>
      </c>
      <c r="C265" s="3" t="s">
        <v>15</v>
      </c>
      <c r="D265" s="4" t="str">
        <f>HYPERLINK("https://www.wilsoncenter.org/kennan-institute-fellowships-and-internships","Title VIII Research and Summer Research Scholarships")</f>
        <v>Title VIII Research and Summer Research Scholarships</v>
      </c>
      <c r="E265" s="5" t="s">
        <v>323</v>
      </c>
      <c r="F265" s="6" t="s">
        <v>12</v>
      </c>
      <c r="G265" s="6" t="s">
        <v>71</v>
      </c>
      <c r="H265" s="6" t="s">
        <v>324</v>
      </c>
      <c r="I265" s="12" t="s">
        <v>325</v>
      </c>
    </row>
    <row r="266" spans="1:9" s="10" customFormat="1" ht="140.25">
      <c r="A266" s="1">
        <v>43231</v>
      </c>
      <c r="B266" s="4" t="str">
        <f>HYPERLINK("https://nij.gov/Pages/welcome.aspx","National Institute of Justice")</f>
        <v>National Institute of Justice</v>
      </c>
      <c r="C266" s="3" t="s">
        <v>19</v>
      </c>
      <c r="D266" s="4" t="str">
        <f>HYPERLINK("https://nij.gov/funding/fellowships/visiting-fellowships/pages/welcome.aspx","Visiting Fellows Program")</f>
        <v>Visiting Fellows Program</v>
      </c>
      <c r="E266" s="5" t="s">
        <v>27</v>
      </c>
      <c r="F266" s="6" t="s">
        <v>12</v>
      </c>
      <c r="G266" s="6"/>
      <c r="H266" s="6"/>
      <c r="I266" s="12" t="s">
        <v>28</v>
      </c>
    </row>
    <row r="267" spans="1:9" s="10" customFormat="1" ht="165.75">
      <c r="A267" s="1">
        <v>43313</v>
      </c>
      <c r="B267" s="4" t="str">
        <f>HYPERLINK("https://awards.cies.org/","Fulbright")</f>
        <v>Fulbright</v>
      </c>
      <c r="C267" s="3" t="s">
        <v>19</v>
      </c>
      <c r="D267" s="20" t="str">
        <f>HYPERLINK("https://awards.cies.org/content/fulbright-distinguished-chair-international-relations-university-sao-paulo-usp-0","Distinguished Chair in International Relations at University of Sao Paulo (USP)")</f>
        <v>Distinguished Chair in International Relations at University of Sao Paulo (USP)</v>
      </c>
      <c r="E267" s="5" t="s">
        <v>27</v>
      </c>
      <c r="F267" s="6" t="s">
        <v>12</v>
      </c>
      <c r="G267" s="6"/>
      <c r="H267" s="6"/>
      <c r="I267" s="12" t="s">
        <v>61</v>
      </c>
    </row>
    <row r="268" spans="1:9" s="10" customFormat="1" ht="178.5">
      <c r="A268" s="11">
        <v>43739</v>
      </c>
      <c r="B268" s="2" t="str">
        <f>HYPERLINK("https://www.kettering.org/shared-learning/katherine-w-fanning-residency-journalism-democracy","Kettering Foundation")</f>
        <v>Kettering Foundation</v>
      </c>
      <c r="C268" s="3" t="s">
        <v>15</v>
      </c>
      <c r="D268" s="2" t="str">
        <f>HYPERLINK("https://www.kettering.org/shared-learning/katherine-w-fanning-residency-journalism-democracy","Katherine W. Fanning Residency in Journalism &amp; Democracy ")</f>
        <v xml:space="preserve">Katherine W. Fanning Residency in Journalism &amp; Democracy </v>
      </c>
      <c r="E268" s="5" t="s">
        <v>27</v>
      </c>
      <c r="F268" s="6" t="s">
        <v>12</v>
      </c>
      <c r="G268" s="6"/>
      <c r="H268" s="7" t="s">
        <v>470</v>
      </c>
      <c r="I268" s="12" t="s">
        <v>471</v>
      </c>
    </row>
    <row r="269" spans="1:9" s="10" customFormat="1" ht="102">
      <c r="A269" s="11">
        <v>43266</v>
      </c>
      <c r="B269" s="4" t="str">
        <f>HYPERLINK("https://www.srf.org/","Smith Richardson Foundation")</f>
        <v>Smith Richardson Foundation</v>
      </c>
      <c r="C269" s="3" t="s">
        <v>15</v>
      </c>
      <c r="D269" s="4" t="str">
        <f>HYPERLINK("https://www.srf.org/programs/international-security-foreign-policy/strategy-policy-fellows-program/","Strategy and Policy Fellows")</f>
        <v>Strategy and Policy Fellows</v>
      </c>
      <c r="E269" s="5" t="s">
        <v>47</v>
      </c>
      <c r="F269" s="5" t="s">
        <v>25</v>
      </c>
      <c r="G269" s="6"/>
      <c r="H269" s="7">
        <v>60000</v>
      </c>
      <c r="I269" s="12" t="s">
        <v>48</v>
      </c>
    </row>
    <row r="270" spans="1:9" s="10" customFormat="1" ht="382.5">
      <c r="A270" s="1">
        <v>43344</v>
      </c>
      <c r="B270" s="14" t="str">
        <f>HYPERLINK("https://www.ssrc.org/","Social Science Research Council")</f>
        <v>Social Science Research Council</v>
      </c>
      <c r="C270" s="3" t="s">
        <v>15</v>
      </c>
      <c r="D270" s="14" t="str">
        <f>HYPERLINK("https://www.ssrc.org/fellowships/view/abe-fellowship/","Abe Fellowship")</f>
        <v>Abe Fellowship</v>
      </c>
      <c r="E270" s="5" t="s">
        <v>47</v>
      </c>
      <c r="F270" s="5" t="s">
        <v>25</v>
      </c>
      <c r="G270" s="6"/>
      <c r="H270" s="6" t="s">
        <v>67</v>
      </c>
      <c r="I270" s="12" t="s">
        <v>68</v>
      </c>
    </row>
    <row r="271" spans="1:9" s="10" customFormat="1" ht="216.75">
      <c r="A271" s="1">
        <v>43385</v>
      </c>
      <c r="B271" s="14" t="str">
        <f>HYPERLINK("https://www.opensocietyfoundations.org","Open Society Foundations ")</f>
        <v xml:space="preserve">Open Society Foundations </v>
      </c>
      <c r="C271" s="3" t="s">
        <v>15</v>
      </c>
      <c r="D271" s="17" t="s">
        <v>124</v>
      </c>
      <c r="E271" s="5" t="s">
        <v>47</v>
      </c>
      <c r="F271" s="5" t="s">
        <v>25</v>
      </c>
      <c r="G271" s="6"/>
      <c r="H271" s="6" t="s">
        <v>125</v>
      </c>
      <c r="I271" s="67" t="s">
        <v>616</v>
      </c>
    </row>
    <row r="272" spans="1:9" s="10" customFormat="1" ht="318.75">
      <c r="A272" s="1">
        <v>43510</v>
      </c>
      <c r="B272" s="4" t="str">
        <f>HYPERLINK("https://www.opensocietyfoundations.org","Open Society Foundations")</f>
        <v>Open Society Foundations</v>
      </c>
      <c r="C272" s="3" t="s">
        <v>15</v>
      </c>
      <c r="D272" s="20" t="str">
        <f>HYPERLINK("https://www.opensocietyfoundations.org/grants/open-society-fellowship","Open Society Fellowship")</f>
        <v>Open Society Fellowship</v>
      </c>
      <c r="E272" s="5" t="s">
        <v>47</v>
      </c>
      <c r="F272" s="5" t="s">
        <v>25</v>
      </c>
      <c r="G272" s="6"/>
      <c r="H272" s="6"/>
      <c r="I272" s="12" t="s">
        <v>617</v>
      </c>
    </row>
    <row r="273" spans="1:9" s="10" customFormat="1" ht="204">
      <c r="A273" s="1">
        <v>43579</v>
      </c>
      <c r="B273" s="4" t="str">
        <f>HYPERLINK("neh.gov","National Endowment for the Humanities")</f>
        <v>National Endowment for the Humanities</v>
      </c>
      <c r="C273" s="3" t="s">
        <v>19</v>
      </c>
      <c r="D273" s="13" t="s">
        <v>402</v>
      </c>
      <c r="E273" s="5" t="s">
        <v>47</v>
      </c>
      <c r="F273" s="5" t="s">
        <v>25</v>
      </c>
      <c r="G273" s="18"/>
      <c r="H273" s="6"/>
      <c r="I273" s="12" t="s">
        <v>403</v>
      </c>
    </row>
    <row r="274" spans="1:9" s="10" customFormat="1" ht="89.25">
      <c r="A274" s="1">
        <v>43586</v>
      </c>
      <c r="B274" s="4" t="str">
        <f>HYPERLINK("http://www.wennergren.org/","Wenner Gren Foundation")</f>
        <v>Wenner Gren Foundation</v>
      </c>
      <c r="C274" s="6" t="s">
        <v>15</v>
      </c>
      <c r="D274" s="22" t="str">
        <f>HYPERLINK("http://www.wennergren.org/programs/fejos-postdoctoral-fellowships","Fejos Postdoctoral Fellowship in Ethnographic Film")</f>
        <v>Fejos Postdoctoral Fellowship in Ethnographic Film</v>
      </c>
      <c r="E274" s="5" t="s">
        <v>47</v>
      </c>
      <c r="F274" s="5" t="s">
        <v>25</v>
      </c>
      <c r="G274" s="18" t="s">
        <v>409</v>
      </c>
      <c r="H274" s="7">
        <v>40000</v>
      </c>
      <c r="I274" s="12" t="s">
        <v>410</v>
      </c>
    </row>
    <row r="275" spans="1:9" s="10" customFormat="1" ht="267.75">
      <c r="A275" s="1">
        <v>43830</v>
      </c>
      <c r="B275" s="4" t="str">
        <f>HYPERLINK("https://smlr.rutgers.edu/","Rutgers University")</f>
        <v>Rutgers University</v>
      </c>
      <c r="C275" s="3" t="s">
        <v>8</v>
      </c>
      <c r="D275" s="13" t="s">
        <v>497</v>
      </c>
      <c r="E275" s="5" t="s">
        <v>47</v>
      </c>
      <c r="F275" s="5" t="s">
        <v>25</v>
      </c>
      <c r="G275" s="6"/>
      <c r="H275" s="7">
        <v>12500</v>
      </c>
      <c r="I275" s="12" t="s">
        <v>498</v>
      </c>
    </row>
    <row r="276" spans="1:9" s="10" customFormat="1" ht="229.5">
      <c r="A276" s="1">
        <v>43830</v>
      </c>
      <c r="B276" s="4" t="str">
        <f>HYPERLINK("https://smlr.rutgers.edu/","Rutgers University")</f>
        <v>Rutgers University</v>
      </c>
      <c r="C276" s="3" t="s">
        <v>190</v>
      </c>
      <c r="D276" s="4" t="str">
        <f>HYPERLINK("https://smlr.rutgers.edu/content/fellowships-professorships","Beyster Postdoctoral Fellowship")</f>
        <v>Beyster Postdoctoral Fellowship</v>
      </c>
      <c r="E276" s="5" t="s">
        <v>47</v>
      </c>
      <c r="F276" s="5" t="s">
        <v>25</v>
      </c>
      <c r="G276" s="6" t="s">
        <v>71</v>
      </c>
      <c r="H276" s="7">
        <v>25000</v>
      </c>
      <c r="I276" s="12" t="s">
        <v>499</v>
      </c>
    </row>
    <row r="277" spans="1:9" s="10" customFormat="1" ht="102.75">
      <c r="A277" s="5" t="s">
        <v>552</v>
      </c>
      <c r="B277" s="4" t="str">
        <f>HYPERLINK("https://www.kauffman.org/","Ewing Marion Kauffman Foundation")</f>
        <v>Ewing Marion Kauffman Foundation</v>
      </c>
      <c r="C277" s="3" t="s">
        <v>57</v>
      </c>
      <c r="D277" s="4" t="str">
        <f>HYPERLINK("https://www.kauffman.org/blogs/currents/2018/04/kauffman-knowledge-challenge-casts-wide-net-in-call-for-projects","Knowledge Challenge")</f>
        <v>Knowledge Challenge</v>
      </c>
      <c r="E277" s="5" t="s">
        <v>47</v>
      </c>
      <c r="F277" s="5" t="s">
        <v>25</v>
      </c>
      <c r="G277" s="6" t="s">
        <v>71</v>
      </c>
      <c r="H277" s="6" t="s">
        <v>554</v>
      </c>
      <c r="I277" s="42" t="s">
        <v>618</v>
      </c>
    </row>
    <row r="278" spans="1:9" s="10" customFormat="1" ht="114.75">
      <c r="A278" s="1">
        <v>43405</v>
      </c>
      <c r="B278" s="16" t="str">
        <f>HYPERLINK("https://www.archaeological.org/","Archaeological Institute of America")</f>
        <v>Archaeological Institute of America</v>
      </c>
      <c r="C278" s="3" t="s">
        <v>15</v>
      </c>
      <c r="D278" s="16" t="str">
        <f>HYPERLINK("https://www.archaeological.org/grants/700","Olivia James Traveling Fellowship")</f>
        <v>Olivia James Traveling Fellowship</v>
      </c>
      <c r="E278" s="5" t="s">
        <v>559</v>
      </c>
      <c r="F278" s="6" t="s">
        <v>39</v>
      </c>
      <c r="G278" s="6" t="s">
        <v>203</v>
      </c>
      <c r="H278" s="6"/>
      <c r="I278" s="12" t="s">
        <v>204</v>
      </c>
    </row>
    <row r="279" spans="1:9" s="10" customFormat="1" ht="178.5">
      <c r="A279" s="1">
        <v>43551</v>
      </c>
      <c r="B279" s="4" t="str">
        <f>HYPERLINK("https://classicalstudies.org/","Society for Classical Studies")</f>
        <v>Society for Classical Studies</v>
      </c>
      <c r="C279" s="3" t="s">
        <v>15</v>
      </c>
      <c r="D279" s="4" t="str">
        <f>HYPERLINK("https://classicalstudies.org/awards-and-fellowships/ludwig-koenen-fellowship-training-papyrology","Ludwig Koenen Fellowship for Training in Papyrology")</f>
        <v>Ludwig Koenen Fellowship for Training in Papyrology</v>
      </c>
      <c r="E279" s="5" t="s">
        <v>559</v>
      </c>
      <c r="F279" s="6" t="s">
        <v>25</v>
      </c>
      <c r="G279" s="6"/>
      <c r="H279" s="7" t="s">
        <v>375</v>
      </c>
      <c r="I279" s="12" t="s">
        <v>376</v>
      </c>
    </row>
    <row r="280" spans="1:9" s="10" customFormat="1" ht="76.5">
      <c r="A280" s="1">
        <v>43770</v>
      </c>
      <c r="B280" s="4" t="str">
        <f>HYPERLINK("https://www.archaeological.org/","Archaeological Institute of America")</f>
        <v>Archaeological Institute of America</v>
      </c>
      <c r="C280" s="3" t="s">
        <v>15</v>
      </c>
      <c r="D280" s="13" t="s">
        <v>489</v>
      </c>
      <c r="E280" s="5" t="s">
        <v>559</v>
      </c>
      <c r="F280" s="6" t="s">
        <v>39</v>
      </c>
      <c r="G280" s="6"/>
      <c r="H280" s="6" t="s">
        <v>208</v>
      </c>
      <c r="I280" s="12" t="s">
        <v>490</v>
      </c>
    </row>
    <row r="281" spans="1:9" s="10" customFormat="1" ht="38.25">
      <c r="A281" s="1">
        <v>43845</v>
      </c>
      <c r="B281" s="4" t="str">
        <f>HYPERLINK("https://www.archaeological.org/","Archaeological Institute of America")</f>
        <v>Archaeological Institute of America</v>
      </c>
      <c r="C281" s="3" t="s">
        <v>15</v>
      </c>
      <c r="D281" s="24" t="str">
        <f>HYPERLINK("https://www.archaeological.org/grants/703","Anna C. &amp; Oliver C. Colburn Fellowships")</f>
        <v>Anna C. &amp; Oliver C. Colburn Fellowships</v>
      </c>
      <c r="E281" s="5" t="s">
        <v>559</v>
      </c>
      <c r="F281" s="6" t="s">
        <v>39</v>
      </c>
      <c r="G281" s="6" t="s">
        <v>158</v>
      </c>
      <c r="H281" s="7">
        <v>5500</v>
      </c>
      <c r="I281" s="12" t="s">
        <v>506</v>
      </c>
    </row>
    <row r="282" spans="1:9" s="10" customFormat="1" ht="204">
      <c r="A282" s="54">
        <v>43497</v>
      </c>
      <c r="B282" s="60" t="str">
        <f>HYPERLINK("https://www.aeaweb.org/","American Economics Association")</f>
        <v>American Economics Association</v>
      </c>
      <c r="C282" s="55" t="s">
        <v>15</v>
      </c>
      <c r="D282" s="63" t="str">
        <f>HYPERLINK("https://www.aeaweb.org/about-aea/committees/summer-fellows-program","Summer Economics Fellowships")</f>
        <v>Summer Economics Fellowships</v>
      </c>
      <c r="E282" s="56" t="s">
        <v>334</v>
      </c>
      <c r="F282" s="57" t="s">
        <v>12</v>
      </c>
      <c r="G282" s="64" t="s">
        <v>71</v>
      </c>
      <c r="H282" s="59"/>
      <c r="I282" s="58" t="s">
        <v>598</v>
      </c>
    </row>
  </sheetData>
  <customSheetViews>
    <customSheetView guid="{D8DCAEDF-4C9D-45D6-96DE-F434942C3B9C}" filter="1" showAutoFilter="1">
      <pageMargins left="0.7" right="0.7" top="0.75" bottom="0.75" header="0.3" footer="0.3"/>
      <autoFilter ref="E1:E566"/>
    </customSheetView>
    <customSheetView guid="{23D72F9D-0FD4-4BDC-B1D2-50A4B3F54EA7}" filter="1" showAutoFilter="1">
      <pageMargins left="0.7" right="0.7" top="0.75" bottom="0.75" header="0.3" footer="0.3"/>
      <autoFilter ref="A1:M722"/>
    </customSheetView>
  </customSheetViews>
  <hyperlinks>
    <hyperlink ref="D10" r:id="rId1"/>
    <hyperlink ref="D88" r:id="rId2"/>
    <hyperlink ref="D253" r:id="rId3"/>
    <hyperlink ref="D136" r:id="rId4" location="faq-distinguished-fellows"/>
    <hyperlink ref="D89" r:id="rId5"/>
    <hyperlink ref="D186" r:id="rId6"/>
    <hyperlink ref="D130" r:id="rId7"/>
    <hyperlink ref="D231" r:id="rId8"/>
    <hyperlink ref="D137" r:id="rId9"/>
    <hyperlink ref="D138" r:id="rId10"/>
    <hyperlink ref="D255" r:id="rId11"/>
    <hyperlink ref="D95" r:id="rId12"/>
    <hyperlink ref="D140" r:id="rId13"/>
    <hyperlink ref="D141" r:id="rId14"/>
    <hyperlink ref="D271" r:id="rId15"/>
    <hyperlink ref="D14" r:id="rId16"/>
    <hyperlink ref="B6" r:id="rId17"/>
    <hyperlink ref="D6" r:id="rId18"/>
    <hyperlink ref="B7" r:id="rId19"/>
    <hyperlink ref="D7" r:id="rId20"/>
    <hyperlink ref="B4" r:id="rId21"/>
    <hyperlink ref="D4" r:id="rId22"/>
    <hyperlink ref="D232" r:id="rId23"/>
    <hyperlink ref="D258" r:id="rId24"/>
    <hyperlink ref="D21" r:id="rId25"/>
    <hyperlink ref="D97" r:id="rId26"/>
    <hyperlink ref="D249" r:id="rId27"/>
    <hyperlink ref="D147" r:id="rId28"/>
    <hyperlink ref="D259" r:id="rId29"/>
    <hyperlink ref="D148" r:id="rId30"/>
    <hyperlink ref="D234" r:id="rId31"/>
    <hyperlink ref="D149" r:id="rId32"/>
    <hyperlink ref="D58" r:id="rId33"/>
    <hyperlink ref="D103" r:id="rId34"/>
    <hyperlink ref="D61" r:id="rId35"/>
    <hyperlink ref="D104" r:id="rId36"/>
    <hyperlink ref="D62" r:id="rId37"/>
    <hyperlink ref="D105" r:id="rId38"/>
    <hyperlink ref="B5" r:id="rId39"/>
    <hyperlink ref="D5" r:id="rId40"/>
    <hyperlink ref="B3" r:id="rId41"/>
    <hyperlink ref="D3" r:id="rId42"/>
    <hyperlink ref="D246" r:id="rId43"/>
    <hyperlink ref="D254" r:id="rId44"/>
    <hyperlink ref="D106" r:id="rId45"/>
    <hyperlink ref="D210" r:id="rId46"/>
    <hyperlink ref="D108" r:id="rId47"/>
    <hyperlink ref="D250" r:id="rId48"/>
    <hyperlink ref="D31" r:id="rId49"/>
    <hyperlink ref="D187" r:id="rId50"/>
    <hyperlink ref="D112" r:id="rId51"/>
    <hyperlink ref="D236" r:id="rId52"/>
    <hyperlink ref="D114" r:id="rId53"/>
    <hyperlink ref="D34" r:id="rId54"/>
    <hyperlink ref="D199" r:id="rId55"/>
    <hyperlink ref="D69" r:id="rId56"/>
    <hyperlink ref="D159" r:id="rId57"/>
    <hyperlink ref="D119" r:id="rId58"/>
    <hyperlink ref="D264" r:id="rId59"/>
    <hyperlink ref="D273" r:id="rId60"/>
    <hyperlink ref="D262" r:id="rId61"/>
    <hyperlink ref="D261" r:id="rId62"/>
    <hyperlink ref="D167" r:id="rId63"/>
    <hyperlink ref="D188" r:id="rId64"/>
    <hyperlink ref="D170" r:id="rId65"/>
    <hyperlink ref="D19" r:id="rId66"/>
    <hyperlink ref="D20" r:id="rId67"/>
    <hyperlink ref="D173" r:id="rId68"/>
    <hyperlink ref="D175" r:id="rId69"/>
    <hyperlink ref="D280" r:id="rId70"/>
    <hyperlink ref="D275" r:id="rId71"/>
    <hyperlink ref="D37" r:id="rId72"/>
    <hyperlink ref="D183" r:id="rId73"/>
    <hyperlink ref="D42" r:id="rId74" location="robertgiard"/>
    <hyperlink ref="B229" r:id="rId75" display="http://www.nus.edu.sg/"/>
    <hyperlink ref="D229" r:id="rId76"/>
    <hyperlink ref="B55" r:id="rId77" display="https://www.ias.edu/"/>
    <hyperlink ref="D55" r:id="rId78" display="https://www.sss.ias.edu/applications-school-social-science-2019-20"/>
  </hyperlinks>
  <printOptions horizontalCentered="1" gridLines="1"/>
  <pageMargins left="0.7" right="0.7" top="0.75" bottom="0.75" header="0" footer="0"/>
  <pageSetup fitToHeight="0" pageOrder="overThenDown" orientation="landscape" cellComments="atEnd" r:id="rId79"/>
  <tableParts count="1">
    <tablePart r:id="rId8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opportunities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Steeves</dc:creator>
  <cp:lastModifiedBy>Administrator</cp:lastModifiedBy>
  <dcterms:created xsi:type="dcterms:W3CDTF">2019-03-05T21:51:24Z</dcterms:created>
  <dcterms:modified xsi:type="dcterms:W3CDTF">2019-03-06T19:52:24Z</dcterms:modified>
</cp:coreProperties>
</file>