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stitutional Support\IFRO Folder\Bi-Weekly Newsletter\SR Grant Calendar\"/>
    </mc:Choice>
  </mc:AlternateContent>
  <bookViews>
    <workbookView xWindow="0" yWindow="0" windowWidth="19410" windowHeight="10170"/>
  </bookViews>
  <sheets>
    <sheet name="2017" sheetId="1" r:id="rId1"/>
  </sheets>
  <definedNames>
    <definedName name="_xlnm._FilterDatabase" localSheetId="0" hidden="1">'2017'!$A$1:$I$641</definedName>
  </definedNames>
  <calcPr calcId="152511"/>
</workbook>
</file>

<file path=xl/calcChain.xml><?xml version="1.0" encoding="utf-8"?>
<calcChain xmlns="http://schemas.openxmlformats.org/spreadsheetml/2006/main">
  <c r="B562" i="1" l="1"/>
  <c r="D46" i="1"/>
  <c r="B46" i="1"/>
  <c r="D489" i="1"/>
  <c r="B489" i="1"/>
  <c r="D477" i="1"/>
  <c r="B477" i="1"/>
  <c r="D372" i="1"/>
  <c r="B372" i="1"/>
  <c r="D39" i="1"/>
  <c r="B39" i="1"/>
  <c r="D437" i="1"/>
  <c r="B437" i="1"/>
  <c r="D410" i="1"/>
  <c r="B410" i="1"/>
  <c r="D193" i="1"/>
  <c r="B193" i="1"/>
  <c r="B36" i="1"/>
  <c r="D401" i="1"/>
  <c r="B401" i="1"/>
  <c r="D333" i="1"/>
  <c r="D332" i="1"/>
  <c r="B332" i="1"/>
  <c r="B618" i="1"/>
  <c r="D631" i="1"/>
  <c r="B631" i="1"/>
  <c r="D250" i="1"/>
  <c r="B250" i="1"/>
  <c r="D420" i="1"/>
  <c r="B420" i="1"/>
  <c r="B620" i="1"/>
  <c r="B619" i="1"/>
  <c r="B398" i="1"/>
  <c r="B133" i="1"/>
  <c r="B105" i="1"/>
  <c r="B331" i="1"/>
  <c r="B159" i="1"/>
  <c r="D147" i="1"/>
  <c r="B147" i="1"/>
  <c r="B137" i="1"/>
  <c r="B90" i="1"/>
  <c r="D557" i="1"/>
  <c r="B557" i="1"/>
  <c r="D630" i="1"/>
  <c r="B630" i="1"/>
  <c r="D53" i="1"/>
  <c r="B53" i="1"/>
  <c r="D275" i="1"/>
  <c r="B275" i="1"/>
  <c r="B223" i="1"/>
  <c r="B397" i="1"/>
  <c r="D617" i="1"/>
  <c r="B617" i="1"/>
  <c r="B322" i="1"/>
  <c r="B616" i="1"/>
  <c r="D443" i="1"/>
  <c r="B443" i="1"/>
  <c r="D69" i="1"/>
  <c r="B69" i="1"/>
  <c r="D249" i="1"/>
  <c r="B249" i="1"/>
  <c r="D17" i="1"/>
  <c r="B17" i="1"/>
  <c r="B615" i="1"/>
  <c r="B523" i="1"/>
  <c r="B614" i="1"/>
  <c r="B613" i="1"/>
  <c r="D428" i="1"/>
  <c r="B428" i="1"/>
  <c r="D52" i="1"/>
  <c r="B52" i="1"/>
  <c r="D23" i="1"/>
  <c r="B23" i="1"/>
  <c r="D243" i="1"/>
  <c r="D612" i="1"/>
  <c r="B612" i="1"/>
  <c r="D178" i="1"/>
  <c r="B178" i="1"/>
  <c r="B59" i="1"/>
  <c r="D203" i="1"/>
  <c r="B203" i="1"/>
  <c r="D390" i="1"/>
  <c r="B390" i="1"/>
  <c r="D494" i="1"/>
  <c r="B494" i="1"/>
  <c r="D182" i="1"/>
  <c r="B182" i="1"/>
  <c r="D567" i="1"/>
  <c r="B567" i="1"/>
  <c r="D16" i="1"/>
  <c r="B16" i="1"/>
  <c r="D35" i="1"/>
  <c r="B35" i="1"/>
  <c r="B611" i="1"/>
  <c r="D153" i="1"/>
  <c r="B153" i="1"/>
  <c r="B85" i="1"/>
  <c r="D559" i="1"/>
  <c r="B559" i="1"/>
  <c r="B187" i="1"/>
  <c r="D146" i="1"/>
  <c r="B146" i="1"/>
  <c r="B610" i="1"/>
  <c r="B534" i="1"/>
  <c r="B186" i="1"/>
  <c r="D609" i="1"/>
  <c r="B609" i="1"/>
  <c r="D547" i="1"/>
  <c r="B547" i="1"/>
  <c r="D427" i="1"/>
  <c r="B427" i="1"/>
  <c r="D371" i="1"/>
  <c r="B371" i="1"/>
  <c r="D370" i="1"/>
  <c r="B370" i="1"/>
  <c r="D369" i="1"/>
  <c r="B369" i="1"/>
  <c r="D368" i="1"/>
  <c r="B368" i="1"/>
  <c r="B117" i="1"/>
  <c r="D608" i="1"/>
  <c r="B608" i="1"/>
  <c r="B607" i="1"/>
  <c r="D541" i="1"/>
  <c r="B541" i="1"/>
  <c r="B515" i="1"/>
  <c r="B509" i="1"/>
  <c r="B505" i="1"/>
  <c r="B482" i="1"/>
  <c r="B481" i="1"/>
  <c r="D479" i="1"/>
  <c r="B479" i="1"/>
  <c r="B476" i="1"/>
  <c r="B475" i="1"/>
  <c r="D409" i="1"/>
  <c r="B409" i="1"/>
  <c r="B192" i="1"/>
  <c r="D191" i="1"/>
  <c r="B191" i="1"/>
  <c r="D190" i="1"/>
  <c r="B190" i="1"/>
  <c r="D189" i="1"/>
  <c r="B189" i="1"/>
  <c r="B177" i="1"/>
  <c r="D95" i="1"/>
  <c r="B95" i="1"/>
  <c r="D15" i="1"/>
  <c r="B15" i="1"/>
  <c r="D606" i="1"/>
  <c r="B606" i="1"/>
  <c r="D367" i="1"/>
  <c r="B367" i="1"/>
  <c r="D474" i="1"/>
  <c r="B474" i="1"/>
  <c r="B456" i="1"/>
  <c r="D406" i="1"/>
  <c r="B406" i="1"/>
  <c r="B387" i="1"/>
  <c r="B166" i="1"/>
  <c r="B140" i="1"/>
  <c r="B132" i="1"/>
  <c r="D378" i="1"/>
  <c r="B378" i="1"/>
  <c r="D504" i="1"/>
  <c r="B504" i="1"/>
  <c r="D407" i="1"/>
  <c r="B407" i="1"/>
  <c r="D556" i="1"/>
  <c r="B556" i="1"/>
  <c r="D555" i="1"/>
  <c r="B555" i="1"/>
  <c r="B605" i="1"/>
  <c r="D438" i="1"/>
  <c r="B438" i="1"/>
  <c r="D396" i="1"/>
  <c r="B396" i="1"/>
  <c r="B330" i="1"/>
  <c r="B320" i="1"/>
  <c r="B319" i="1"/>
  <c r="D279" i="1"/>
  <c r="B279" i="1"/>
  <c r="B278" i="1"/>
  <c r="D242" i="1"/>
  <c r="B242" i="1"/>
  <c r="D241" i="1"/>
  <c r="B241" i="1"/>
  <c r="D227" i="1"/>
  <c r="B227" i="1"/>
  <c r="D207" i="1"/>
  <c r="B207" i="1"/>
  <c r="D205" i="1"/>
  <c r="B205" i="1"/>
  <c r="D204" i="1"/>
  <c r="B204" i="1"/>
  <c r="D525" i="1"/>
  <c r="B525" i="1"/>
  <c r="D419" i="1"/>
  <c r="B419" i="1"/>
  <c r="D176" i="1"/>
  <c r="B176" i="1"/>
  <c r="B503" i="1"/>
  <c r="D418" i="1"/>
  <c r="B418" i="1"/>
  <c r="D404" i="1"/>
  <c r="B404" i="1"/>
  <c r="D385" i="1"/>
  <c r="B385" i="1"/>
  <c r="B304" i="1"/>
  <c r="D288" i="1"/>
  <c r="B288" i="1"/>
  <c r="D181" i="1"/>
  <c r="B181" i="1"/>
  <c r="D285" i="1"/>
  <c r="B285" i="1"/>
  <c r="B625" i="1"/>
  <c r="D604" i="1"/>
  <c r="D329" i="1"/>
  <c r="B329" i="1"/>
  <c r="D310" i="1"/>
  <c r="B310" i="1"/>
  <c r="D309" i="1"/>
  <c r="B309" i="1"/>
  <c r="D274" i="1"/>
  <c r="B274" i="1"/>
  <c r="D603" i="1"/>
  <c r="B603" i="1"/>
  <c r="B485" i="1"/>
  <c r="D446" i="1"/>
  <c r="B446" i="1"/>
  <c r="D389" i="1"/>
  <c r="B389" i="1"/>
  <c r="B312" i="1"/>
  <c r="D158" i="1"/>
  <c r="B158" i="1"/>
  <c r="B624" i="1"/>
  <c r="B602" i="1"/>
  <c r="D601" i="1"/>
  <c r="B601" i="1"/>
  <c r="D600" i="1"/>
  <c r="B600" i="1"/>
  <c r="D599" i="1"/>
  <c r="B599" i="1"/>
  <c r="D598" i="1"/>
  <c r="B598" i="1"/>
  <c r="D597" i="1"/>
  <c r="B597" i="1"/>
  <c r="D596" i="1"/>
  <c r="B596" i="1"/>
  <c r="D595" i="1"/>
  <c r="B595" i="1"/>
  <c r="D565" i="1"/>
  <c r="B565" i="1"/>
  <c r="D544" i="1"/>
  <c r="B544" i="1"/>
  <c r="D543" i="1"/>
  <c r="B543" i="1"/>
  <c r="D542" i="1"/>
  <c r="B542" i="1"/>
  <c r="B532" i="1"/>
  <c r="D526" i="1"/>
  <c r="B526" i="1"/>
  <c r="B522" i="1"/>
  <c r="B512" i="1"/>
  <c r="D473" i="1"/>
  <c r="B473" i="1"/>
  <c r="D430" i="1"/>
  <c r="B430" i="1"/>
  <c r="D403" i="1"/>
  <c r="B403" i="1"/>
  <c r="B384" i="1"/>
  <c r="B366" i="1"/>
  <c r="B318" i="1"/>
  <c r="D282" i="1"/>
  <c r="B282" i="1"/>
  <c r="D273" i="1"/>
  <c r="B273" i="1"/>
  <c r="D240" i="1"/>
  <c r="B240" i="1"/>
  <c r="D239" i="1"/>
  <c r="B239" i="1"/>
  <c r="B222" i="1"/>
  <c r="B164" i="1"/>
  <c r="B118" i="1"/>
  <c r="D108" i="1"/>
  <c r="B108" i="1"/>
  <c r="D94" i="1"/>
  <c r="B94" i="1"/>
  <c r="D79" i="1"/>
  <c r="B79" i="1"/>
  <c r="D78" i="1"/>
  <c r="B78" i="1"/>
  <c r="D77" i="1"/>
  <c r="B77" i="1"/>
  <c r="B68" i="1"/>
  <c r="B524" i="1"/>
  <c r="B510" i="1"/>
  <c r="B14" i="1"/>
  <c r="D13" i="1"/>
  <c r="B13" i="1"/>
  <c r="B7" i="1"/>
  <c r="D621" i="1"/>
  <c r="B621" i="1"/>
  <c r="D623" i="1"/>
  <c r="B623" i="1"/>
  <c r="B221" i="1"/>
  <c r="D136" i="1"/>
  <c r="B136" i="1"/>
  <c r="B521" i="1"/>
  <c r="B436" i="1"/>
  <c r="D450" i="1"/>
  <c r="B450" i="1"/>
  <c r="D272" i="1"/>
  <c r="B272" i="1"/>
  <c r="B10" i="1"/>
  <c r="D594" i="1"/>
  <c r="B594" i="1"/>
  <c r="D593" i="1"/>
  <c r="B593" i="1"/>
  <c r="D493" i="1"/>
  <c r="B493" i="1"/>
  <c r="B457" i="1"/>
  <c r="B365" i="1"/>
  <c r="B302" i="1"/>
  <c r="B175" i="1"/>
  <c r="D84" i="1"/>
  <c r="B84" i="1"/>
  <c r="B67" i="1"/>
  <c r="D508" i="1"/>
  <c r="B508" i="1"/>
  <c r="D185" i="1"/>
  <c r="B185" i="1"/>
  <c r="D445" i="1"/>
  <c r="B445" i="1"/>
  <c r="B383" i="1"/>
  <c r="D377" i="1"/>
  <c r="B377" i="1"/>
  <c r="D364" i="1"/>
  <c r="B364" i="1"/>
  <c r="D308" i="1"/>
  <c r="B308" i="1"/>
  <c r="B291" i="1"/>
  <c r="B174" i="1"/>
  <c r="B156" i="1"/>
  <c r="B286" i="1"/>
  <c r="D363" i="1"/>
  <c r="B363" i="1"/>
  <c r="D271" i="1"/>
  <c r="B271" i="1"/>
  <c r="B226" i="1"/>
  <c r="B142" i="1"/>
  <c r="B511" i="1"/>
  <c r="D301" i="1"/>
  <c r="B301" i="1"/>
  <c r="D113" i="1"/>
  <c r="B113" i="1"/>
  <c r="B134" i="1"/>
  <c r="D300" i="1"/>
  <c r="B300" i="1"/>
  <c r="D362" i="1"/>
  <c r="B362" i="1"/>
  <c r="D361" i="1"/>
  <c r="B361" i="1"/>
  <c r="D220" i="1"/>
  <c r="B220" i="1"/>
  <c r="D219" i="1"/>
  <c r="B219" i="1"/>
  <c r="D180" i="1"/>
  <c r="B180" i="1"/>
  <c r="D76" i="1"/>
  <c r="B76" i="1"/>
  <c r="D179" i="1"/>
  <c r="B179" i="1"/>
  <c r="D270" i="1"/>
  <c r="B270" i="1"/>
  <c r="D209" i="1"/>
  <c r="B209" i="1"/>
  <c r="B328" i="1"/>
  <c r="D592" i="1"/>
  <c r="B592" i="1"/>
  <c r="D591" i="1"/>
  <c r="B591" i="1"/>
  <c r="D269" i="1"/>
  <c r="B269" i="1"/>
  <c r="B492" i="1"/>
  <c r="D161" i="1"/>
  <c r="B161" i="1"/>
  <c r="D12" i="1"/>
  <c r="B12" i="1"/>
  <c r="D157" i="1"/>
  <c r="B157" i="1"/>
  <c r="D590" i="1"/>
  <c r="B590" i="1"/>
  <c r="D194" i="1"/>
  <c r="B194" i="1"/>
  <c r="B589" i="1"/>
  <c r="B472" i="1"/>
  <c r="B554" i="1"/>
  <c r="D429" i="1"/>
  <c r="B429" i="1"/>
  <c r="B202" i="1"/>
  <c r="D25" i="1"/>
  <c r="B25" i="1"/>
  <c r="D388" i="1"/>
  <c r="B388" i="1"/>
  <c r="D588" i="1"/>
  <c r="B588" i="1"/>
  <c r="D360" i="1"/>
  <c r="B360" i="1"/>
  <c r="D587" i="1"/>
  <c r="B587" i="1"/>
  <c r="B586" i="1"/>
  <c r="B359" i="1"/>
  <c r="B277" i="1"/>
  <c r="D152" i="1"/>
  <c r="B152" i="1"/>
  <c r="B74" i="1"/>
  <c r="D71" i="1"/>
  <c r="B71" i="1"/>
  <c r="D507" i="1"/>
  <c r="B507" i="1"/>
  <c r="B585" i="1"/>
  <c r="B233" i="1"/>
  <c r="D638" i="1"/>
  <c r="B638" i="1"/>
  <c r="B435" i="1"/>
  <c r="D400" i="1"/>
  <c r="B400" i="1"/>
  <c r="D160" i="1"/>
  <c r="B160" i="1"/>
  <c r="D116" i="1"/>
  <c r="B116" i="1"/>
  <c r="B115" i="1"/>
  <c r="D38" i="1"/>
  <c r="B38" i="1"/>
  <c r="D18" i="1"/>
  <c r="B18" i="1"/>
  <c r="B268" i="1"/>
  <c r="D200" i="1"/>
  <c r="B200" i="1"/>
  <c r="D135" i="1"/>
  <c r="B135" i="1"/>
  <c r="B128" i="1"/>
  <c r="D40" i="1"/>
  <c r="B40" i="1"/>
  <c r="B520" i="1"/>
  <c r="D540" i="1"/>
  <c r="B540" i="1"/>
  <c r="B426" i="1"/>
  <c r="D514" i="1"/>
  <c r="B514" i="1"/>
  <c r="D165" i="1"/>
  <c r="B165" i="1"/>
  <c r="D483" i="1"/>
  <c r="B483" i="1"/>
  <c r="B70" i="1"/>
  <c r="B6" i="1"/>
  <c r="D51" i="1"/>
  <c r="B51" i="1"/>
  <c r="B33" i="1"/>
  <c r="B517" i="1"/>
  <c r="B358" i="1"/>
  <c r="B58" i="1"/>
  <c r="B57" i="1"/>
  <c r="D516" i="1"/>
  <c r="B516" i="1"/>
  <c r="D195" i="1"/>
  <c r="B195" i="1"/>
  <c r="D386" i="1"/>
  <c r="B386" i="1"/>
  <c r="B75" i="1"/>
  <c r="D267" i="1"/>
  <c r="B267" i="1"/>
  <c r="D424" i="1"/>
  <c r="B424" i="1"/>
  <c r="D73" i="1"/>
  <c r="B73" i="1"/>
  <c r="B408" i="1"/>
  <c r="D314" i="1"/>
  <c r="B314" i="1"/>
  <c r="B236" i="1"/>
  <c r="B235" i="1"/>
  <c r="D210" i="1"/>
  <c r="B210" i="1"/>
  <c r="B42" i="1"/>
  <c r="D238" i="1"/>
  <c r="B238" i="1"/>
  <c r="D584" i="1"/>
  <c r="B584" i="1"/>
  <c r="B141" i="1"/>
  <c r="D583" i="1"/>
  <c r="B583" i="1"/>
  <c r="D536" i="1"/>
  <c r="B536" i="1"/>
  <c r="B484" i="1"/>
  <c r="D266" i="1"/>
  <c r="B266" i="1"/>
  <c r="D45" i="1"/>
  <c r="B45" i="1"/>
  <c r="D127" i="1"/>
  <c r="B127" i="1"/>
  <c r="D173" i="1"/>
  <c r="B173" i="1"/>
  <c r="D553" i="1"/>
  <c r="B553" i="1"/>
  <c r="D287" i="1"/>
  <c r="B287" i="1"/>
  <c r="D582" i="1"/>
  <c r="B582" i="1"/>
  <c r="D56" i="1"/>
  <c r="B56" i="1"/>
  <c r="B184" i="1"/>
  <c r="B502" i="1"/>
  <c r="B629" i="1"/>
  <c r="B254" i="1"/>
  <c r="B382" i="1"/>
  <c r="D155" i="1"/>
  <c r="B155" i="1"/>
  <c r="B151" i="1"/>
  <c r="D533" i="1"/>
  <c r="B533" i="1"/>
  <c r="D307" i="1"/>
  <c r="B307" i="1"/>
  <c r="D232" i="1"/>
  <c r="B232" i="1"/>
  <c r="D231" i="1"/>
  <c r="B231" i="1"/>
  <c r="D230" i="1"/>
  <c r="B230" i="1"/>
  <c r="D299" i="1"/>
  <c r="B299" i="1"/>
  <c r="D581" i="1"/>
  <c r="B581" i="1"/>
  <c r="D637" i="1"/>
  <c r="B637" i="1"/>
  <c r="D636" i="1"/>
  <c r="B636" i="1"/>
  <c r="D546" i="1"/>
  <c r="B546" i="1"/>
  <c r="D491" i="1"/>
  <c r="B491" i="1"/>
  <c r="D423" i="1"/>
  <c r="B423" i="1"/>
  <c r="D501" i="1"/>
  <c r="B501" i="1"/>
  <c r="D265" i="1"/>
  <c r="B265" i="1"/>
  <c r="D550" i="1"/>
  <c r="B550" i="1"/>
  <c r="D357" i="1"/>
  <c r="B357" i="1"/>
  <c r="B356" i="1"/>
  <c r="B206" i="1"/>
  <c r="D454" i="1"/>
  <c r="B454" i="1"/>
  <c r="D519" i="1"/>
  <c r="B519" i="1"/>
  <c r="D150" i="1"/>
  <c r="B150" i="1"/>
  <c r="B172" i="1"/>
  <c r="B126" i="1"/>
  <c r="B264" i="1"/>
  <c r="B119" i="1"/>
  <c r="B355" i="1"/>
  <c r="D247" i="1"/>
  <c r="B247" i="1"/>
  <c r="D246" i="1"/>
  <c r="B246" i="1"/>
  <c r="D561" i="1"/>
  <c r="B561" i="1"/>
  <c r="D145" i="1"/>
  <c r="B145" i="1"/>
  <c r="B225" i="1"/>
  <c r="B518" i="1"/>
  <c r="B101" i="1"/>
  <c r="B471" i="1"/>
  <c r="B425" i="1"/>
  <c r="D229" i="1"/>
  <c r="B229" i="1"/>
  <c r="D354" i="1"/>
  <c r="B354" i="1"/>
  <c r="B50" i="1"/>
  <c r="D263" i="1"/>
  <c r="B263" i="1"/>
  <c r="D104" i="1"/>
  <c r="B104" i="1"/>
  <c r="D545" i="1"/>
  <c r="B545" i="1"/>
  <c r="B87" i="1"/>
  <c r="B376" i="1"/>
  <c r="B327" i="1"/>
  <c r="D298" i="1"/>
  <c r="B298" i="1"/>
  <c r="B262" i="1"/>
  <c r="B148" i="1"/>
  <c r="D171" i="1"/>
  <c r="B171" i="1"/>
  <c r="D218" i="1"/>
  <c r="D112" i="1"/>
  <c r="B112" i="1"/>
  <c r="D9" i="1"/>
  <c r="B9" i="1"/>
  <c r="B451" i="1"/>
  <c r="B131" i="1"/>
  <c r="B470" i="1"/>
  <c r="B449" i="1"/>
  <c r="D628" i="1"/>
  <c r="B628" i="1"/>
  <c r="B326" i="1"/>
  <c r="D199" i="1"/>
  <c r="B199" i="1"/>
  <c r="D580" i="1"/>
  <c r="B580" i="1"/>
  <c r="D478" i="1"/>
  <c r="B478" i="1"/>
  <c r="D469" i="1"/>
  <c r="B469" i="1"/>
  <c r="D325" i="1"/>
  <c r="B325" i="1"/>
  <c r="D224" i="1"/>
  <c r="B224" i="1"/>
  <c r="D170" i="1"/>
  <c r="B170" i="1"/>
  <c r="D19" i="1"/>
  <c r="D500" i="1"/>
  <c r="B500" i="1"/>
  <c r="D417" i="1"/>
  <c r="B417" i="1"/>
  <c r="D353" i="1"/>
  <c r="B353" i="1"/>
  <c r="D55" i="1"/>
  <c r="B55" i="1"/>
  <c r="D48" i="1"/>
  <c r="B48" i="1"/>
  <c r="D549" i="1"/>
  <c r="B549" i="1"/>
  <c r="B461" i="1"/>
  <c r="D32" i="1"/>
  <c r="B32" i="1"/>
  <c r="D480" i="1"/>
  <c r="D5" i="1"/>
  <c r="B5" i="1"/>
  <c r="B530" i="1"/>
  <c r="D228" i="1"/>
  <c r="B228" i="1"/>
  <c r="D31" i="1"/>
  <c r="B31" i="1"/>
  <c r="D488" i="1"/>
  <c r="B488" i="1"/>
  <c r="B208" i="1"/>
  <c r="B579" i="1"/>
  <c r="D578" i="1"/>
  <c r="B578" i="1"/>
  <c r="D548" i="1"/>
  <c r="B548" i="1"/>
  <c r="B468" i="1"/>
  <c r="B395" i="1"/>
  <c r="B380" i="1"/>
  <c r="D379" i="1"/>
  <c r="B379" i="1"/>
  <c r="D375" i="1"/>
  <c r="B375" i="1"/>
  <c r="D352" i="1"/>
  <c r="B352" i="1"/>
  <c r="D321" i="1"/>
  <c r="B321" i="1"/>
  <c r="D317" i="1"/>
  <c r="B317" i="1"/>
  <c r="D306" i="1"/>
  <c r="B306" i="1"/>
  <c r="B303" i="1"/>
  <c r="B281" i="1"/>
  <c r="D276" i="1"/>
  <c r="B276" i="1"/>
  <c r="D253" i="1"/>
  <c r="B253" i="1"/>
  <c r="D163" i="1"/>
  <c r="B163" i="1"/>
  <c r="D125" i="1"/>
  <c r="B125" i="1"/>
  <c r="B100" i="1"/>
  <c r="D83" i="1"/>
  <c r="B83" i="1"/>
  <c r="B351" i="1"/>
  <c r="B217" i="1"/>
  <c r="D539" i="1"/>
  <c r="B539" i="1"/>
  <c r="D297" i="1"/>
  <c r="B297" i="1"/>
  <c r="D296" i="1"/>
  <c r="B296" i="1"/>
  <c r="D448" i="1"/>
  <c r="B448" i="1"/>
  <c r="D447" i="1"/>
  <c r="B447" i="1"/>
  <c r="D311" i="1"/>
  <c r="B311" i="1"/>
  <c r="D467" i="1"/>
  <c r="B467" i="1"/>
  <c r="D466" i="1"/>
  <c r="B466" i="1"/>
  <c r="D460" i="1"/>
  <c r="B460" i="1"/>
  <c r="D261" i="1"/>
  <c r="B261" i="1"/>
  <c r="D260" i="1"/>
  <c r="B260" i="1"/>
  <c r="D499" i="1"/>
  <c r="B499" i="1"/>
  <c r="D350" i="1"/>
  <c r="B350" i="1"/>
  <c r="D44" i="1"/>
  <c r="B44" i="1"/>
  <c r="D349" i="1"/>
  <c r="B349" i="1"/>
  <c r="B487" i="1"/>
  <c r="D107" i="1"/>
  <c r="B107" i="1"/>
  <c r="D30" i="1"/>
  <c r="B30" i="1"/>
  <c r="D348" i="1"/>
  <c r="B348" i="1"/>
  <c r="B82" i="1"/>
  <c r="D568" i="1"/>
  <c r="B568" i="1"/>
  <c r="B465" i="1"/>
  <c r="B453" i="1"/>
  <c r="B434" i="1"/>
  <c r="B416" i="1"/>
  <c r="D405" i="1"/>
  <c r="B405" i="1"/>
  <c r="D394" i="1"/>
  <c r="B394" i="1"/>
  <c r="D347" i="1"/>
  <c r="B347" i="1"/>
  <c r="B346" i="1"/>
  <c r="D305" i="1"/>
  <c r="B305" i="1"/>
  <c r="B280" i="1"/>
  <c r="D259" i="1"/>
  <c r="B259" i="1"/>
  <c r="D248" i="1"/>
  <c r="B248" i="1"/>
  <c r="D245" i="1"/>
  <c r="B245" i="1"/>
  <c r="D216" i="1"/>
  <c r="B216" i="1"/>
  <c r="B188" i="1"/>
  <c r="B124" i="1"/>
  <c r="B123" i="1"/>
  <c r="D37" i="1"/>
  <c r="B37" i="1"/>
  <c r="B498" i="1"/>
  <c r="D497" i="1"/>
  <c r="B497" i="1"/>
  <c r="B29" i="1"/>
  <c r="D529" i="1"/>
  <c r="B529" i="1"/>
  <c r="D345" i="1"/>
  <c r="B345" i="1"/>
  <c r="D324" i="1"/>
  <c r="B324" i="1"/>
  <c r="D66" i="1"/>
  <c r="B66" i="1"/>
  <c r="D86" i="1"/>
  <c r="B86" i="1"/>
  <c r="D506" i="1"/>
  <c r="B506" i="1"/>
  <c r="D464" i="1"/>
  <c r="B464" i="1"/>
  <c r="D459" i="1"/>
  <c r="B459" i="1"/>
  <c r="B422" i="1"/>
  <c r="B415" i="1"/>
  <c r="B402" i="1"/>
  <c r="D393" i="1"/>
  <c r="B393" i="1"/>
  <c r="D344" i="1"/>
  <c r="B344" i="1"/>
  <c r="D295" i="1"/>
  <c r="B295" i="1"/>
  <c r="D81" i="1"/>
  <c r="B81" i="1"/>
  <c r="B65" i="1"/>
  <c r="D28" i="1"/>
  <c r="B28" i="1"/>
  <c r="D27" i="1"/>
  <c r="B27" i="1"/>
  <c r="B4" i="1"/>
  <c r="B528" i="1"/>
  <c r="B294" i="1"/>
  <c r="D215" i="1"/>
  <c r="B215" i="1"/>
  <c r="D64" i="1"/>
  <c r="B64" i="1"/>
  <c r="B47" i="1"/>
  <c r="D463" i="1"/>
  <c r="B463" i="1"/>
  <c r="B293" i="1"/>
  <c r="B421" i="1"/>
  <c r="D106" i="1"/>
  <c r="B106" i="1"/>
  <c r="D343" i="1"/>
  <c r="B343" i="1"/>
  <c r="D26" i="1"/>
  <c r="B26" i="1"/>
  <c r="D342" i="1"/>
  <c r="B342" i="1"/>
  <c r="B374" i="1"/>
  <c r="B72" i="1"/>
  <c r="D496" i="1"/>
  <c r="B496" i="1"/>
  <c r="D341" i="1"/>
  <c r="B341" i="1"/>
  <c r="D284" i="1"/>
  <c r="B284" i="1"/>
  <c r="D144" i="1"/>
  <c r="B144" i="1"/>
  <c r="D558" i="1"/>
  <c r="B558" i="1"/>
  <c r="D564" i="1"/>
  <c r="B564" i="1"/>
  <c r="D535" i="1"/>
  <c r="B535" i="1"/>
  <c r="D442" i="1"/>
  <c r="B442" i="1"/>
  <c r="B441" i="1"/>
  <c r="B290" i="1"/>
  <c r="D198" i="1"/>
  <c r="B198" i="1"/>
  <c r="D162" i="1"/>
  <c r="B162" i="1"/>
  <c r="D99" i="1"/>
  <c r="B99" i="1"/>
  <c r="B89" i="1"/>
  <c r="D462" i="1"/>
  <c r="B462" i="1"/>
  <c r="D381" i="1"/>
  <c r="B381" i="1"/>
  <c r="D316" i="1"/>
  <c r="B316" i="1"/>
  <c r="B392" i="1"/>
  <c r="D627" i="1"/>
  <c r="D527" i="1"/>
  <c r="B527" i="1"/>
  <c r="B93" i="1"/>
  <c r="B98" i="1"/>
  <c r="D639" i="1"/>
  <c r="B639" i="1"/>
  <c r="B340" i="1"/>
  <c r="D63" i="1"/>
  <c r="B63" i="1"/>
  <c r="D103" i="1"/>
  <c r="B103" i="1"/>
  <c r="D8" i="1"/>
  <c r="B8" i="1"/>
  <c r="D577" i="1"/>
  <c r="B577" i="1"/>
  <c r="D576" i="1"/>
  <c r="B576" i="1"/>
  <c r="D560" i="1"/>
  <c r="B560" i="1"/>
  <c r="D537" i="1"/>
  <c r="B537" i="1"/>
  <c r="B339" i="1"/>
  <c r="B283" i="1"/>
  <c r="D244" i="1"/>
  <c r="B244" i="1"/>
  <c r="B234" i="1"/>
  <c r="B154" i="1"/>
  <c r="D102" i="1"/>
  <c r="B102" i="1"/>
  <c r="D92" i="1"/>
  <c r="B92" i="1"/>
  <c r="B54" i="1"/>
  <c r="D130" i="1"/>
  <c r="B130" i="1"/>
  <c r="D41" i="1"/>
  <c r="B41" i="1"/>
  <c r="B626" i="1"/>
  <c r="B486" i="1"/>
  <c r="D323" i="1"/>
  <c r="B323" i="1"/>
  <c r="D168" i="1"/>
  <c r="B168" i="1"/>
  <c r="D214" i="1"/>
  <c r="B214" i="1"/>
  <c r="D338" i="1"/>
  <c r="B338" i="1"/>
  <c r="D258" i="1"/>
  <c r="B258" i="1"/>
  <c r="D414" i="1"/>
  <c r="B414" i="1"/>
  <c r="D538" i="1"/>
  <c r="B538" i="1"/>
  <c r="D552" i="1"/>
  <c r="B552" i="1"/>
  <c r="D292" i="1"/>
  <c r="B292" i="1"/>
  <c r="D635" i="1"/>
  <c r="B635" i="1"/>
  <c r="D458" i="1"/>
  <c r="B458" i="1"/>
  <c r="D2" i="1"/>
  <c r="B2" i="1"/>
  <c r="D634" i="1"/>
  <c r="B634" i="1"/>
  <c r="D633" i="1"/>
  <c r="B633" i="1"/>
  <c r="D62" i="1"/>
  <c r="B62" i="1"/>
  <c r="D61" i="1"/>
  <c r="B61" i="1"/>
  <c r="D313" i="1"/>
  <c r="B313" i="1"/>
  <c r="D257" i="1"/>
  <c r="B257" i="1"/>
  <c r="B575" i="1"/>
  <c r="D3" i="1"/>
  <c r="B3" i="1"/>
  <c r="B289" i="1"/>
  <c r="B97" i="1"/>
  <c r="D413" i="1"/>
  <c r="B413" i="1"/>
  <c r="D412" i="1"/>
  <c r="B412" i="1"/>
  <c r="B495" i="1"/>
  <c r="D632" i="1"/>
  <c r="B632" i="1"/>
  <c r="D373" i="1"/>
  <c r="B373" i="1"/>
  <c r="D213" i="1"/>
  <c r="B213" i="1"/>
  <c r="D574" i="1"/>
  <c r="B574" i="1"/>
  <c r="D551" i="1"/>
  <c r="B551" i="1"/>
  <c r="D88" i="1"/>
  <c r="B88" i="1"/>
  <c r="D490" i="1"/>
  <c r="B490" i="1"/>
  <c r="D640" i="1"/>
  <c r="B640" i="1"/>
  <c r="D622" i="1"/>
  <c r="B622" i="1"/>
  <c r="D531" i="1"/>
  <c r="B531" i="1"/>
  <c r="D411" i="1"/>
  <c r="B411" i="1"/>
  <c r="D399" i="1"/>
  <c r="B399" i="1"/>
  <c r="B60" i="1"/>
  <c r="B573" i="1"/>
  <c r="D237" i="1"/>
  <c r="B237" i="1"/>
  <c r="D256" i="1"/>
  <c r="B256" i="1"/>
  <c r="D572" i="1"/>
  <c r="B572" i="1"/>
  <c r="D563" i="1"/>
  <c r="B563" i="1"/>
  <c r="D337" i="1"/>
  <c r="B337" i="1"/>
  <c r="B11" i="1"/>
  <c r="B24" i="1"/>
  <c r="B452" i="1"/>
  <c r="B440" i="1"/>
  <c r="B433" i="1"/>
  <c r="B432" i="1"/>
  <c r="B336" i="1"/>
  <c r="B183" i="1"/>
  <c r="B138" i="1"/>
  <c r="D49" i="1"/>
  <c r="B49" i="1"/>
  <c r="D22" i="1"/>
  <c r="B22" i="1"/>
  <c r="D149" i="1"/>
  <c r="B149" i="1"/>
  <c r="B121" i="1"/>
  <c r="B120" i="1"/>
  <c r="B21" i="1"/>
  <c r="B439" i="1"/>
  <c r="D335" i="1"/>
  <c r="B335" i="1"/>
  <c r="B143" i="1"/>
  <c r="D114" i="1"/>
  <c r="B114" i="1"/>
  <c r="B431" i="1"/>
  <c r="D91" i="1"/>
  <c r="B91" i="1"/>
  <c r="D96" i="1"/>
  <c r="B96" i="1"/>
  <c r="D513" i="1"/>
  <c r="B513" i="1"/>
  <c r="B169" i="1"/>
  <c r="B167" i="1"/>
  <c r="B80" i="1"/>
  <c r="D43" i="1"/>
  <c r="B43" i="1"/>
  <c r="D20" i="1"/>
  <c r="B20" i="1"/>
  <c r="D571" i="1"/>
  <c r="B571" i="1"/>
  <c r="B129" i="1"/>
  <c r="B255" i="1"/>
  <c r="B139" i="1"/>
  <c r="B570" i="1"/>
  <c r="B444" i="1"/>
  <c r="B315" i="1"/>
  <c r="B251" i="1"/>
  <c r="D197" i="1"/>
  <c r="B197" i="1"/>
  <c r="D212" i="1"/>
  <c r="B212" i="1"/>
  <c r="D211" i="1"/>
  <c r="B211" i="1"/>
  <c r="B455" i="1"/>
  <c r="B391" i="1"/>
  <c r="B111" i="1"/>
  <c r="B110" i="1"/>
  <c r="B109" i="1"/>
  <c r="D569" i="1"/>
  <c r="B569" i="1"/>
  <c r="B196" i="1"/>
</calcChain>
</file>

<file path=xl/sharedStrings.xml><?xml version="1.0" encoding="utf-8"?>
<sst xmlns="http://schemas.openxmlformats.org/spreadsheetml/2006/main" count="3253" uniqueCount="1386">
  <si>
    <t>Due date</t>
  </si>
  <si>
    <t>Sponsor</t>
  </si>
  <si>
    <t>Org type (gov, high ed, fdn, other for libs &amp; museums)</t>
  </si>
  <si>
    <t xml:space="preserve">Program </t>
  </si>
  <si>
    <t>Department</t>
  </si>
  <si>
    <t>Stage of career
(if specified)</t>
  </si>
  <si>
    <t>Funding range 
(if specified)</t>
  </si>
  <si>
    <t>Notes and description</t>
  </si>
  <si>
    <t>high ed</t>
  </si>
  <si>
    <t>The Anthony Lukas Prize Project Awards</t>
  </si>
  <si>
    <t>General</t>
  </si>
  <si>
    <t xml:space="preserve"> </t>
  </si>
  <si>
    <t>"Two J. Anthony Lukas Work-in-Progress Awards, in the amount of $25,000, are given annually to aid in the completion of significant works of nonficition on topics of American political or social concern. Recognizing that a nonfiction book based on extensive research often overtaxes the resources available to its author, the project envisions the Awards as a way of closing the gap between the time and money an author has and the time and money that finishing a book requires."</t>
  </si>
  <si>
    <t>rolling</t>
  </si>
  <si>
    <t>fdn</t>
  </si>
  <si>
    <t>A&amp;H
History</t>
  </si>
  <si>
    <t>Archival</t>
  </si>
  <si>
    <t>"CWIHP offers resources and support to scholars of all levels who are conducting archival research on the history of the Cold War. In addition to CWIHP's formal fellowships, the project accepts ad-hoc proposals and funding requests to support archival research.... Generally, CWIHP supports the following kinds of activities:
Translation and Transcription
If you have retrieved historical documents from non-US archives, and you would like to have them translated into English, CWIHP will translate and host them online for you. Scans or transcriptions of archival documents can be hosted online side-by-side with their English translations on the Wilson Center's Digital Archive. Write to CWIHP with a description or index of the documents you would like to have translated, and what you intend to do with them. 
Document Acquisition and Duplication
If you are planning a trip to a non-US archive and need financial support to photocopy or scan materials during your trip, write to CWHIP with a short description of the collections you will be accessing. CWIHP regularly reimburses photocopy/scanning costs."</t>
  </si>
  <si>
    <t>Joan Kelly Memorial Prize</t>
  </si>
  <si>
    <t>award</t>
  </si>
  <si>
    <t>"Established in 1984 and named in memory of Joan Kelly (1928–82), this prize is awarded annually for the book in women’s history and/or feminist theory that best reflects the high intellectual and scholarly ideals exemplified by the life and work of Joan Kelly. The prize was established by the Coordinating Committee on Women in the Historical Profession and the Conference Group on Women’s History (now the Coordinating Council for Women in History), and is administered by the American Historical Association."</t>
  </si>
  <si>
    <t>Nupur Chaudhuri First Article Prize</t>
  </si>
  <si>
    <t>Award</t>
  </si>
  <si>
    <t>"The CCWH Nupur Chaudhuri Article Prize is an annual $1000 prize that recognizes the best first article published in the field of history by a CCWH member.
Named to honor long-time CCWH board member and former executive director and co-president from 1995-1998 Nupur Chaudhuri, the article must be published in a refereed journal in one of the two years proceeding the prize year.  An article may only be submitted once.  All fields of history will be considered, and articles must be submitted with full scholarly apparatus."</t>
  </si>
  <si>
    <t>Catherine Prelinger Award</t>
  </si>
  <si>
    <t>ABD+</t>
  </si>
  <si>
    <t>"This award, named for Catherine Prelinger, a former CCWH president and nontraditional scholar, is intended to enhance the work of a contemporary scholar whose academic path has not followed the traditional path of uninterrupted study, moving from completed secondary, to undergraduate, then graduate degrees, followed by a tenure-track faculty position."</t>
  </si>
  <si>
    <t>Louis Gottschalk Prize</t>
  </si>
  <si>
    <t>Submission must be made by the publisher.
"This prize is for an outstanding historical or critical study on the eighteenth century and carries an award of $1,000. Louis Gottschalk (1899-1975) second President of ASECS, President of the American Historical Association, and for many years Distinguished Service Professor at the University of Chicago, exemplified in his scholarship the humanistic ideals that this award is meant to encourage."</t>
  </si>
  <si>
    <t>Awards and Prizes</t>
  </si>
  <si>
    <t xml:space="preserve">The Western Association of Women Historians offers 8 annual awards and prizes for articles and books published in the last year, unless otherwise stipulated.  Those of relevance to faculty are:
“The Judith Lee Ridge Prize is an annual prize that recognizes the best article in the field of history published by a WAWH member... The article must have been published in one of the two years preceding the prize year.”
“The Frances Richardson Keller-Sierra Prize is an annual prize that recognizes the best monograph in the field of history published by a WAWH member.”
“The Barbara “Penny” Kanner Award is an annual award given to honor a book, book chapter, article, or electronic media that has been verifiably published or posted in the two years prior to the award year and which illustrates the use of a specific set of primary sources (diaries, letters, interviews etc).”
“The Gita Chaudhuri Prize is an annual prize that recognizes the best monograph about the history of women in rural environments, from any era and any place in the world, published by a WAWH member… The book must have been published in one of the three years prior to the prize.”
“The Frances Richardson Keller-Sierra Prize is an annual $400 prize that recognizes the best monograph in the field of history published by a WAWH member.”  </t>
  </si>
  <si>
    <t>A+H</t>
  </si>
  <si>
    <t>less than $20,000</t>
  </si>
  <si>
    <t>"These grants assist individuals with the production-related expenses that are necessary to take a project from conceptualization to realization and public presentation. These projects include, but are not limited to, publications, exhibitions, installations, films, and new media projects.
Projects must have clearly defined goals, work plans, budgets, and production and dissemination plans."</t>
  </si>
  <si>
    <t>less than $10,000</t>
  </si>
  <si>
    <t>"Though the majority of our grantmaking focuses on Production and Presentation Grants, we recognize that projects may require support at early stages of formation. Research and Development Grants assist individuals with seed money for research-related expenses such as travel, documentation, materials, supplies, and other development costs. Projects must have clearly defined goals, work plans, and budgets.
Upon completion of research projects, recipients of Research and Development Grants must complete a research report and provide documentation that can be archived at the Graham Foundation and/or presented on our website."</t>
  </si>
  <si>
    <t>Art</t>
  </si>
  <si>
    <t>$35,000- $120,000 (Based on grants awarded in 2018)</t>
  </si>
  <si>
    <t xml:space="preserve">“Grants are made on a project basis to curatorial programs at museums, artists' organizations, and other cultural institutions to originate innovative and scholarly presentations of contemporary visual arts. Projects may include exhibitions, catalogues, and other organizational activities directly related to these areas. The program also supports the creation of new work through regranting initiatives and artist-in-residence programs. The foundation values the contributions of all artists, reflecting the true diversity of the contemporary art field, and encourages proposals that highlight women, artists of color, and under-represented practitioners.”
</t>
  </si>
  <si>
    <t>Awards</t>
  </si>
  <si>
    <t>Arts &amp; Humanities</t>
  </si>
  <si>
    <t>"The Feminist Review Trust gives grants to projects in the UK and internationally that support women
In 2018 and 2019 we will particularly welcome applications from non-OECD countries that focus on campaigning and activism in the following areas:
- Lesbian and transgender rights
- Violence against women and girls
- Disabled women and girls
 - Refugee women and girls"</t>
  </si>
  <si>
    <t>Richard L. Blinder Award</t>
  </si>
  <si>
    <t>"The Richard L. Blinder Award will be presented biennially to an architect or other professional in a related historic preservation field for a proposal exploring architecture and preservation. The proposal may focus on a real project or it may be a polemical exercise; in either case, originality is highly valued. The proposal must advance architectural preservation in the United States. The product can be graphic, text-based or a combination of both and must be able to be shared with the architecture and preservation community. The award is for a sum not to exceed $15,000."</t>
  </si>
  <si>
    <t xml:space="preserve">Clifford Prize </t>
  </si>
  <si>
    <t>"The James L. Clifford Prize goes to the author of an article on an outstanding study of some aspect of eighteenth-century culture, interesting to any eighteenth-century specialist, regardless of discipline. It carries an award of $500.
Rules:
· The article should be no longer than 15,000 words.
· The article must have been published in a journal or any peer-reviewed publication with a print date between July 2016 and June 2017.
· The article may be nominated by a member of the society, by its author, or by an editor of the publishing journal. Self-nominations are limited to one article per year.
· Nominations are requested in pdf format to the ASECS Business Office. All submissions must be received in the ASECS office no later than 1 January.
· The author must be a member of the ASECS at the time of submission."</t>
  </si>
  <si>
    <t>Rolling</t>
  </si>
  <si>
    <t>"Humanities Program
The Foundation intends to further the humanities along a broad front, supporting projects which address the concerns of the historical studia humanitatis: a humanistic education rooted in the great traditions of the past; the formation of human beings according to cultural, moral, and aesthetic ideals derived from that past; and the ongoing debate over how these ideals may best be conceived and realized....
Performing Arts Program
The principal mission of the Performing Arts Program is to provide core program and special project support to organizations of quality in the fields of dance, music and theater that perform and produce or present work in New York City.... 
Research Libraries Program
The Research Libraries Program concentrates primarily in those areas of its founders’ interests and aims to be fully complementary to the Foundation’s other program areas (i.e., humanities scholarship, performing arts, and Venetian history and culture).
The overall objective of the Research Libraries Program is to improve the ability of research libraries to serve the needs of scholarship in the humanities and the performing arts, and to help make their resources more widely accessible to scholars and the general public....
Venetian Programs
Designed to support historical research on Venice and the former Venetian empire, and the study of contemporary Venetian society and culture, grants are awarded for independent research, for publications assistance, and for the support of institutions engaged in related research programs."</t>
  </si>
  <si>
    <t>Prizes for Creative Promise</t>
  </si>
  <si>
    <t>Creative Arts</t>
  </si>
  <si>
    <t>early career</t>
  </si>
  <si>
    <t>"The Vilcek Prizes for Creative Promise were established in 2009 as a complement to the Vilcek Prizes, to encourage and support young immigrants who have already demonstrated exceptional achievements, and who often face significant challenges early in their careers. As with the Vilcek Prizes, the Creative Promise Prizes are awarded annually in biomedical science and in a changing category of the arts, next year recognizing accomplishments in the field of culinary arts."</t>
  </si>
  <si>
    <t>IRIS Research Awards</t>
  </si>
  <si>
    <t>$15k-$30k</t>
  </si>
  <si>
    <t>"Proposals submitted for IRIS Researcher Awards must emphasize the use of IRIS data in projects that address open issues in the study of science and technology and in science policy. Topics of particular interest include but will not be limited to: (1) new methods to estimate social and economic return on investment for funding from various sources (federal, philanthropic, industrial, and institutional); (2) studies about the relationship between research training, career outcomes and the downstream productivity of employers; (3) research on the relationship between different funding sources and mechanisms and the structure and outcomes of collaboration within and across campuses; (4) analyses of the distinctive contribution university research makes to regional economic development and resilience; and (5) examinations of the effects different funding sources and mechanisms have on research teams and the productivity and efficiency of the academic research enterprise as a whole."</t>
  </si>
  <si>
    <t>Lydia Cabrera Awards</t>
  </si>
  <si>
    <t>Language and Area Studies
Latin America</t>
  </si>
  <si>
    <t>"Lydia Cabrera Awards are available to support the study of Cuba between 1492 and 1868. Awards are designed specifically to support:
1) original research on Cuban history in Spanish, Mexican, and U. S. archives;
2) the publication of meritorious books on Cuba currently out of print; and
3) the publication of historical statistics, historical documents, and guides to Spanish archives relating to Cuban history between 1492 and 1868."</t>
  </si>
  <si>
    <t>Library Science</t>
  </si>
  <si>
    <t>"The award will be granted to an MLS degreed librarian from an ALA accredited school to facilitate and further research relating to history and history librarianship.  An emphasis in an area reflected by the History Section’s subject-oriented committees, not excluding American history, is required.  Those committees are: Genealogy, Local History, Instruction and Research Services, and Historical Materials."</t>
  </si>
  <si>
    <t>Sciences</t>
  </si>
  <si>
    <t>$1,500,000/5 years</t>
  </si>
  <si>
    <t>No new DEADLINE as of 10.30.18
"NYSCF is soliciting applications from early career investigators for Innovator Awards to be used for exploring the basic biology and translational potential of stem cells. The goal of this initiative is to foster bold and innovative scientists with the potential to transform the field of stem cell research, and advance understanding and use of stem cells in the development of treatments for human disease. In addition to providing funding, NYSCF partners with investigators to advance and translate their research."</t>
  </si>
  <si>
    <t>Similar deadline annually, but confirm date on website</t>
  </si>
  <si>
    <t> APF Alexander Gralnick Research Investigator Prize</t>
  </si>
  <si>
    <t>gov</t>
  </si>
  <si>
    <t>Faculty Early Career Development Program (CAREER), BIO, CISE, HER</t>
  </si>
  <si>
    <t>Early career</t>
  </si>
  <si>
    <t>July 18, 2018 for BIO, CISE, EHR, July 19, 2018 for ENG, July 20, 2018 for GEO, MPS, SBE
"a Foundation-wide activity that offers the National Science Foundation's most prestigious awards in support of early-career faculty who have the potential to serve as academic role models in research and education and to lead advances in the mission of their department or organization. Activities pursued by early-career faculty should build a firm foundation for a lifetime of leadership in integrating education and research."</t>
  </si>
  <si>
    <t>Fdn</t>
  </si>
  <si>
    <t>Early Career Award for Public Engagement with Science</t>
  </si>
  <si>
    <t>"The AAAS Early Career Award for Public Engagement with Science, established in 2010, recognizes early-career scientists and engineers who demonstrate excellence in their contribution to public engagement with science activities."</t>
  </si>
  <si>
    <t>"The Camille Dreyfus Teacher-Scholar Awards Program supports the research and teaching careers of talented young faculty in the chemical sciences. Based on institutional nominations, the program provides discretionary funding to faculty at an early stage in their careers. Criteria for selection include an independent body of scholarship attained in the early years of their appointment (see below), and a demonstrated commitment to education, signaling the promise of continuing outstanding contributions to both research and teaching."</t>
  </si>
  <si>
    <t>Sciences
astronomy, chemistry, physics</t>
  </si>
  <si>
    <t>$100,000/3 years</t>
  </si>
  <si>
    <t>"The Cottrell Scholar Award (CSA) is available to early career faculty at US research universities and primarily undergraduate institutions. Eligible applicants are tenure-track faculty members whose primary appointment is in a department of astronomy, chemistry or physics that offers, the minimum, a bachelor’s degree. For the 2017 proposal cycle, eligibility is limited to faculty members who started their first tenure-track appointment anytime in calendar year 2014."</t>
  </si>
  <si>
    <t>Sciences
Biology and Earth Science</t>
  </si>
  <si>
    <t>"Why is there something rather than nothing?
What is the Universe made of?
How did life begin?
How can matter think?
How much is knowable?
The disciplines that ask the biggest questions and find the deepest explanations are the fundamental sciences. The Breakthrough Prizes honor important, primarily recent, achievements in the categories of Fundamental Physics, Life Sciences and Mathematics. The prizes are sponsored by Sergey Brin, Priscilla Chan and Mark Zuckerberg, Pony Ma, Yuri and Julia Milner, and Anne Wojcicki. Committees of previous laureates choose the winners from candidates nominated in a process that’s online and open to the public.... While self-nominations are prohibited, anyone may nominate another person.... For the seventh year, the Breakthrough Prize, recognized as the world’s largest science prize, will honor top scientists, handing out up to four prizes in Life Sciences, one in Fundamental Physics and one in Mathematics. Each prize comes with a $3 million award. In addition, up to six New Horizons Prizes, each for $100,000, will be presented to promising early-career researchers in the fields of Physics and Mathematics."</t>
  </si>
  <si>
    <t>Genetics Prize</t>
  </si>
  <si>
    <t>"The Genetics Prize is presented to a leading scientist, or up to three, in recognition of groundbreaking contributions to any realm of genetics research.
The Gruber Foundation established and awarded its first Genetics Prize in 2001. This year of monumental accomplishment in genetics research, with the successful sequencing of the human genome, was a particularly auspicious time to launch the world's first major international prize devoted specifically to achievements in the realm of genetics research."</t>
  </si>
  <si>
    <t>Sciences
Chemistry</t>
  </si>
  <si>
    <t>"The Henry Dreyfus Teacher-Scholar Awards Program supports the research and teaching careers of talented young faculty in the chemical sciences at undergraduate institutions. Based on institutional nominations, the program provides discretionary funding to faculty at an early stage in their careers. The award is based on accomplishment in scholarly research with undergraduates, as well as a compelling commitment to teaching."</t>
  </si>
  <si>
    <t>WCC Rising Star Award</t>
  </si>
  <si>
    <t>"Female ACS members in chemistry and chemical engineering, who are approaching mid-level careers, working in academic, industrial, government, non-profit or other employment sectors."</t>
  </si>
  <si>
    <t>$5,000 and a certificate, + $10,000 to an eligible non-profit institution, designated by recipient.</t>
  </si>
  <si>
    <t>"The Camille and Henry Dreyfus Foundation established the Award for Encouraging Women into Careers in the Chemical Sciences in 1993 to recognize significant accomplishments by individuals who have stimulated or fostered the interest of women in chemistry, promoting their professional development as chemists or chemical engineers."</t>
  </si>
  <si>
    <t>Outstanding Scientific Achievements by a Young Investigator</t>
  </si>
  <si>
    <t>early career (&lt;40 yo)</t>
  </si>
  <si>
    <t>“This award recognizes and encourages the professional development of a young investigator who has demonstrated exceptional scientific achievements early in his or her career. It is given based on the degree of originality exhibited in the individual's creative process and the significance of the research conducted relevant to the field of clinical laboratory medicine. It is conferred upon an individual who has the potential to be an outstanding investigator of the future. (The individual must not have reached the age of 40 by January 1 in the year in which the award is to be given and must be an AACC member.)”</t>
  </si>
  <si>
    <t>Google Faculty Research Award</t>
  </si>
  <si>
    <t>corp</t>
  </si>
  <si>
    <t>Faculty Research Award</t>
  </si>
  <si>
    <t>Sciences
Engineering
Computer Science</t>
  </si>
  <si>
    <t>"While we do significant in-house research and engineering, we also maintain strong ties with academic institutions worldwide pursuing innovative research in core areas relevant to our products and services. As part of that vision, the Google Faculty Research Awards Program aims to recognize and support world-class, permanent faculty pursuing cutting-edge research in areas of mutual interest.
Our goal is to identify and strengthen long-term collaborative relationships with faculty working on problems that will impact how future generations use technology. Google Faculty Research Awards are structured as seed funding to support one graduate student for one year and are awarded as an unrestricted gift."</t>
  </si>
  <si>
    <t>Investigator Awards</t>
  </si>
  <si>
    <t>Sciences
Health and Medicine</t>
  </si>
  <si>
    <t>No new DEADLINE as of 10.30.18
"NYSCF is soliciting applications from early career investigators for Innovator awards in neuroscience. The goal of this initiative is to foster truly bold, innovative scientists with the potential to transform the field of neuroscience. Applicants are encouraged in the fundamental areas of developmental, cellular, cognitive, and translational neuroscience, broadly interpreted. Applicants need not be working in areas related to stem cells.
The award provides $1.5M USD over 5 years and is open to researchers based at both national and international accredited academic and nonprofit research institutions."</t>
  </si>
  <si>
    <t>Sciences
Health and medicine</t>
  </si>
  <si>
    <t>"The Vilcek Prizes for Creative Promise were established in 2009 as a complement to the Vilcek Prizes, to encourage and support young immigrants who have already demonstrated exceptional achievements, and who often face significant challenges early in their careers. As with the Vilcek Prizes, the Creative Promise Prizes are awarded annually in biomedical science and in a changing category of the arts, next year recognizing accomplishments in the field of architecture.... Applications are now open for next year's Creative Promise Prizes in Biomedical Science and Culinary Arts."</t>
  </si>
  <si>
    <t>Biomedical Science</t>
  </si>
  <si>
    <t>"The Vilcek Foundation will award three prizes of $50,000 each to young foreign-born biomedical scientists who demonstrate outstanding early achievement. Eligible work may be in basic, applied, and/or translational biomedical science."</t>
  </si>
  <si>
    <t>Sciences
Mathematics and Physics</t>
  </si>
  <si>
    <t>"The Annie Jump Cannon Award is for outstanding research and promise for future research by a postdoctoral woman researcher. It is given to a North American female astronomer within five years of receiving her PhD in the year designated for the award. The Cannon Award includes an honorarium of $1,500 and an invitation to give an invited talk at a meeting of the AAS, for which travel expenses will be paid."</t>
  </si>
  <si>
    <t>Sciences
Neuroscience</t>
  </si>
  <si>
    <t>No new DEADLINE as of 10.30.18
"NYSCF is soliciting applications from early career investigators for Innovator awards in neuroscience. The goal of this initiative is to foster truly bold, innovative scientists with the potential to transform the field of neuroscience. Applicants are encouraged in the fundamental areas of developmental, cellular, cognitive, and translational neuroscience, broadly interpreted. Applicants need not be working in areas related to stem cells."</t>
  </si>
  <si>
    <t>Sciences
Psychology and Neuroscience</t>
  </si>
  <si>
    <t>"We are interested in proposals that address memory or cognition under normal and pathological conditions. This includes proposals that address mechanisms of memory or cognition at the synaptic, cellular, molecular, genetic or behavioral level in animals, including humans.We are particularly interested in proposals that incorporate fundamentally new approaches, as well as those that involve human experimentation. Collaborative and cross-disciplinary applications are encouraged."</t>
  </si>
  <si>
    <t>Mika Salpeter Lifetime Achievement Award</t>
  </si>
  <si>
    <t>"The Mika Salpeter Lifetime Achievement Award recognizes an individual with outstanding career achievements in neuroscience who has also significantly promoted the professional advancement of women in neuroscience. "</t>
  </si>
  <si>
    <t>Kempf Fund Award</t>
  </si>
  <si>
    <t>"The Kempf Fund Award for Research Development in Psychobiological Psychiatry, established in 1988, recognizes a senior researcher who has made a significant contribution to research on the causes and treatment of schizophrenia as both a researcher and a mentor. An award is also made to support the career development of a young research psychiatrist working in a mentor-trainee relationship with the award winner. Funded by the estate of Dorothy C. Kempf."</t>
  </si>
  <si>
    <t>Carmi Harari Early and Mid-Career Awards</t>
  </si>
  <si>
    <t>&lt;10
10-20</t>
  </si>
  <si>
    <t xml:space="preserve">"The Div. 32 Carmi Early and Mid-Career Awards are given for contributions in the areas of inquiry, application and social action. The Div. 32 Early Career Award is given to psychologists, no more than 10 years after receiving their PhD. The Div. 32 Mid-Career Award is given to psychologists, 10-20 years after receiving their PhD.... Awards are given to a psychologist, or a team of psychologists, whose innovative applications in the area of psychological practice and education include, but are not limited to: assessment, consultation, instruction, intervention, and prevention. The original development of procedures, methodologies or technical skills that significantly improve the application of psychological knowledge providing direct and immediate solutions to actualizing the full human potential will be considered; as well as research informing psychologists how to better observe, define, and actualize the human spirit.“  </t>
  </si>
  <si>
    <t>Neuroscience Prize</t>
  </si>
  <si>
    <t>"Individuals from anywhere in the world who have conducted highly distinguished research in the field of the brain, spinal cord, or peripheral nervous system."</t>
  </si>
  <si>
    <t>Scolnick Prize in Neuroscience</t>
  </si>
  <si>
    <t>"The Edward M. Scolnick Prize Neuroscience is awarded annually by the McGovern Institute to recognize outstanding advances in the field of neuroscience. The prize, which is endowed through a gift from Merck to the McGovern Institute, consists of a $150,000 award, plus an inscribed gift. The recipient of the Scolnick Prize presents a public lecture at the McGovern Institute for Brain Research in the spring of 2018. A dinner for the recipient and invited guests follows the prize lecture. "</t>
  </si>
  <si>
    <t>Dr. Rosalee G. Weiss Lecture for Outstanding Leaders in Psychology</t>
  </si>
  <si>
    <t>"The lecturer is an outstanding leader in psychology, or a leader in the arts or sciences whose work and activities have had an effect on psychology.
Award recipients receive an $1,000 honorarium from the APF."</t>
  </si>
  <si>
    <t>Scholars Award</t>
  </si>
  <si>
    <t xml:space="preserve">“The McKnight Endowment Fund for Neuroscience supports innovative research designed to bring science closer to the day when diseases of the brain can be accurately diagnosed, prevented, and treated. To this end, the McKnight Endowment Fund for Neuroscience invites applications for the 2018 McKnight Scholar Awards.
Background: These awards were established to encourage emerging neuroscientists to focus on disorders of learning and memory. Applicants for the McKnight Scholar Award must demonstrate interest in solving important problems in relevant areas of neuroscience, including the translation of basic research to clinical neuroscience. Awards are given to exceptional young scientists who hold the M.D. and/or Ph.D. degree and who are in the early stages of establishing an independent laboratory and research career. Traditionally, successful candidates have held faculty positions for at least one year.”  </t>
  </si>
  <si>
    <t>Harvard University</t>
  </si>
  <si>
    <t>Huntington Prize</t>
  </si>
  <si>
    <t>Social Sciences</t>
  </si>
  <si>
    <t>"Students and friends of Samuel P. Huntington (1927–2008) have established a prize in the amount of $10,000 for the best book published each year in the field of national security. The book can be a work of history or political science, or a work by a practitioner of statecraft."</t>
  </si>
  <si>
    <t>Robert L. Jervis and Pail Schroeder Best Book Award</t>
  </si>
  <si>
    <t>SocSci
Political Science</t>
  </si>
  <si>
    <t xml:space="preserve">No new DEADLINE as of 10.30.18
26 awards “Recognizing excellence in the profession is one of the most important roles of the American Political Science Association.  Through the service of member committees who review nominations, the Association makes awards for the best dissertations, papers and articles, and books in the various subfields of the discipline, and for career achievement in research, teaching and service to the discipline.  These awards are presented at the APSA Annual Meeting.”  </t>
  </si>
  <si>
    <t xml:space="preserve">Ruth K. Broad Foundation Extramural Award </t>
  </si>
  <si>
    <t xml:space="preserve">STEM Neuroscience
</t>
  </si>
  <si>
    <t>No new DEADLINE as of 10.30.18
"The Foundation will be awarding a two-year grant, effective July 1, 2018, for $125,000 each year.  Applications will be evaluated on their potential for advancing understanding of neurodegenerative disorders, with particular interest in the potential relationship to Alzheimer’s disease. The research proposed should be an innovative direction of study for the applicant’s lab with the potential for high impact on the field."</t>
  </si>
  <si>
    <t>Sciences
Psychology</t>
  </si>
  <si>
    <t>collaboration</t>
  </si>
  <si>
    <t>&lt;$2,500</t>
  </si>
  <si>
    <t>Not listed for 2019
"to bring together individuals to engage in planned activities to promote the teaching of psychology or who desire to work together to think about the ways in which the teaching of psychology can be improved. Proposed activities could take the form of conferences or small meetings devoted to teaching-related topics, or could take the form of collaborative activities between specific individuals from different institutions that are intended to improve the teaching of psychology in some way."</t>
  </si>
  <si>
    <t>program ended</t>
  </si>
  <si>
    <t>Arts &amp; Humanities
Area Studies
Social Sciences</t>
  </si>
  <si>
    <t>collaborative research funding</t>
  </si>
  <si>
    <t>The European Institute offers grants to members of the Columbia and Barnard faculties for collaborative research projects such as workshops and conferences. EI Faculty Research Grants support projects that address a topic on the scale of Europe as a whole, an issue of concern to the entire region, or that take a new approach to its relations with other world regions. Projects may be pursued at Columbia or under the auspices of Columbia’s Global Centers Paris and Istanbul and in cooperation with other Global Centers. Projects involving participants from European institutions are prioritized.</t>
  </si>
  <si>
    <t>Conference</t>
  </si>
  <si>
    <t>"Conferences, workshops, and related events (including seasonal schools and international travel by groups) support research and training activities of the mathematical sciences community.  Proposals for conferences, workshops, or conference-like activities may request funding of any amount and for durations of up to three years.  Proposals under this solicitation must be submitted to the appropriate DMS programs in accordance with the lead-time requirements specified on the program web page."</t>
  </si>
  <si>
    <t>conference</t>
  </si>
  <si>
    <t>$9,000 ($1,500 per speaker per conference)</t>
  </si>
  <si>
    <t>OTHER DEADLINE:  4/1/19
"The Society for The Teaching of Psychology (STP; Division 2 of APA) is pleased to announce a program to provide support to teaching conferences or preconferences to fund speakers related to the teaching of psychology. The grant program is open to any gathering of psychology teachers from 4-year colleges and universities, 2-year colleges, or high schools. (Please note that the program does not fund speakers for regional research conferences through this program; long-standing regional research conferences are supported by STP through another program.)"</t>
  </si>
  <si>
    <t>Cooperative Agreements- research</t>
  </si>
  <si>
    <t>"This Funding Opportunity Announcement (FOA) invites U18 cooperative agreement applications to stimulate innovative and collaborative research by utilizing new health information technology (IT) strategies for collecting and using patient-reported outcome (PRO) measures in primary care and other ambulatory care settings. Under the U18 mechanism, Agency for Healthcare Research and Quality (AHRQ) will have substantial programmatic involvement that is above and beyond the normal stewardship role and will assist, guide, coordinate, or participate in project activities." Deadlines: 1/25/18, 5/25/18, 9/25/18</t>
  </si>
  <si>
    <t>Emergency Grants</t>
  </si>
  <si>
    <t>emergency grant</t>
  </si>
  <si>
    <t>$500-$2,500</t>
  </si>
  <si>
    <t>"In keeping with FCA's mission to encourage, sponsor, and promote work of a contemporary, experimental nature, applicants must demonstrate that their artistic practice falls within this context. Created in 1993, Emergency Grants provides prompt funding for innovative visual and performing artists who:
Have unanticipated, sudden opportunities to present their work to the public when there is insufficient time to seek other sources of funding
Incur unexpected or unbudgeted expenses for projects close to completion with committed exhibition or performance dates"</t>
  </si>
  <si>
    <t>Grants</t>
  </si>
  <si>
    <t>Education</t>
  </si>
  <si>
    <t>evaluation</t>
  </si>
  <si>
    <t>"Evaluate the effectiveness of programs designed to promote positive cognitive and/or achievement outcomes for children (birth through 18 years) from underserved groups and/or low-resourced communities (minority ethnic groups, low-income families)."</t>
  </si>
  <si>
    <t>varies</t>
  </si>
  <si>
    <t>A&amp;H
Classics</t>
  </si>
  <si>
    <t>fellowship</t>
  </si>
  <si>
    <t>"The Society for Classical Studies invites applications for a one-year Fellowship which will enable an American scholar to participate in the work of the Thesaurus Linguae Latinae (TLL) Institute in Munich. Fellows at the TLL develop a broadened perspective of the range and complexity of the Latin language and culture from the classical period through the early Middle Ages, contribute signed articles to the Thesaurus, have the opportunity to participate in a collaborative international research project in a collegial environment, and work with senior scholars in the field of Latin lexicography."</t>
  </si>
  <si>
    <t>A&amp;H</t>
  </si>
  <si>
    <t>"The Virginia Foundation for the Humanities offers fellowships to scholars and writers in the humanities. There are no restrictions on topic, and applications are invited from across the broad spectrum of the humanities. The maximum fellowship stipend is $15,000 per semester. Fellowships are awarded for one semester or a full academic year."</t>
  </si>
  <si>
    <t>Additional deadline 8/31/19
"he School of Letters, Art, and Media (SLAM) is offering fellowships for research consisting of a stay of anywhere from 2 weeks to 6 months at the University of Sydney. Successful applicants would be provided with office space, computers, and access to libraries and University facilities. There is no stipend associated with the fellowship and no financial support offered for travel or residential accommodations. Applicants must secure the active support of one or more colleagues in SLAM, who will stand as sponsors for the application."</t>
  </si>
  <si>
    <t>rolling?</t>
  </si>
  <si>
    <t>Fellowship</t>
  </si>
  <si>
    <t>"The Scholar-in-Residence Programme was initiated to enhance cooperation among scholars with research interest in East-West studies. Scholars-in-residence normally work with faculty members of Hong Kong Baptist University and/or other scholars at other tertiary institutions in Hong Kong. The length of the residence varies according to the research plans of the scholars concerned."</t>
  </si>
  <si>
    <t>Various</t>
  </si>
  <si>
    <t>"The nine institutes within the School of Advanced Study offer a number of visiting research fellowships in their specialist subject areas. The Institutes offer a number of visiting and research fellowships in legal studies, classical studies, Commonwealth studies, English studies, historical research, Latin American studies, modern languages, philosophy, and the classical tradition of Europe. The fellowships vary in length and in the stipend amounts. The application deadlines vary between the Institutes."</t>
  </si>
  <si>
    <t>none</t>
  </si>
  <si>
    <t>"Welcoming researchers in any area of legal scholarship who can profit from the strengths of its holdings in United Kingdom and foreign law: its particular research interests lie in legal education and the profession; company and partnership law; financial services regulation; economic crime; comparative law; law reform; and the law of children."</t>
  </si>
  <si>
    <t xml:space="preserve">A&amp;H
</t>
  </si>
  <si>
    <t xml:space="preserve">"The fellowship is awarded to scholars and writers to facilitate research and the production of works of literature that utilize the collections of the State Library of Victoria and the University of Melbourne. The reward will assist with travel, living and research expenses for three to six months. Fellows will be based at the State Library of Victoria. During the fellowship period, fellows will be expected to pursue their own project, present a lecture or short seminar series open to the public, library and university communities, and submit a brief report at the conclusion of their fellowship. The fellow’s project may be in any discipline or area in which the library and the university have strong collections, including East Asian Studies, Engineering, Architecture, history, music, visual arts, and more." </t>
  </si>
  <si>
    <t>2/1/19
TBD</t>
  </si>
  <si>
    <t>Tenured or tenure-track</t>
  </si>
  <si>
    <t>"The IHR ASU Fellows program provides funding for faculty or research teams to engage in a year of research related to the annual theme, share their research with the academic community (via lectures, a conference, or symposium), and produce a strong application for a large external grant. Fellowships provide one course buyout (in the spring semester) for each faculty member as well as research funds."</t>
  </si>
  <si>
    <t>A&amp;H
Area Studies</t>
  </si>
  <si>
    <t>junior scholar</t>
  </si>
  <si>
    <t>"this program aims to help create an energetic, multi-faceted research environment for the Humanities at NYUAD’s campus. To this end, NYUAD will annually invite applications from distinguished senior scholars as well as from promising junior scholars for residential fellowships at NYUAD’s Institute for one-two semesters. Fellows will contribute to NYUAD’s intellectual community through research and research-related activities. While open to scholars working in all areas of the Humanities, the program aims in particular to build a center of outstanding research capacity in areas of the Humanities that are relevant for the study of the Arabic world. Scholars are offered work/office space at the Institute, full use of NYUAD’s library facilities (which are substantial, closely connected as they are to NYU’s Main Library in New York), administrative support, housing at NYUAD’s campus on Saadiyat Island (or comparable facilities), a fellowship stipend commensurate with experience, a personal research allowance, and funds for intermittent home travel."</t>
  </si>
  <si>
    <t>A&amp;H
Art History</t>
  </si>
  <si>
    <t>"Thanks to a generous grant from the Samuel H. Kress Foundation, RSA will award up to five Samuel H. Kress Mid-Career Research and Publication Fellowships of $3,000 each. These fellowships are intended especially to support the costs of publication in the history of art, but in some cases may be awarded for research travel costs for art history projects."</t>
  </si>
  <si>
    <t>10+ years postdoc</t>
  </si>
  <si>
    <t>&lt;$15,000</t>
  </si>
  <si>
    <t>CALL FOR SUBMISSIONS FOR 2019 FUNDING BE ISSUED IN FALL 2018
"Research grants of up to $15,000 will be awarded to one mid-career professional whose research project relates to the appreciation, interpretation, preservation, study and teaching of European art, architecture and related disciplines from antiquity to the early 19th century, in the context of historic preservation in the United States. Potential Kress Fellow projects could include the exploration of shared European and American influences in style, design, materials, construction techniques, building types, conservation and interpretation methodologies, philosophical and theoretical attitudes, and other factors applicable to preservation in both Europe and America."</t>
  </si>
  <si>
    <t>TBD</t>
  </si>
  <si>
    <t>other</t>
  </si>
  <si>
    <t>OPENS IN NOVEMBER 2018
"The Center for Italian Modern Art awards a number of fellowships each year to support the study of Italian modern and contemporary art by scholars at the master’s, doctoral, and post-doctoral level. The program’s intention is to bring together emerging scholars from diverse academic backgrounds in an interactive and collaborative environment at CIMA’s New York location. Fellows pursue their own research, but also participate in the annual installation and the Center’s activities. CIMA also offers a Travel Fellowship for scholars interested in studying in Italy, and an Affiliated Fellowship with the Civitella Ranieri to support an art historian’s stay for six weeks at the residence in Italy. Citizens of all nationalities are eligible to apply."</t>
  </si>
  <si>
    <t>Institute of English Studies Fellowships</t>
  </si>
  <si>
    <t>A&amp;H
English</t>
  </si>
  <si>
    <t>"The activities of the Institute of English Studies attract those interested in the English language and its literatures (including other national and international literatures in English), in the History of the Book, and in cognate fields of study. Its approach is interdisciplinary, and it co-ordinates a substantial amount of research activity through the Centre for Manuscript and Print Studies which it hosts on behalf of a cross-sectoral group of seven universities and libraries including the British Library and the St Bride Printing Library. It has a strong presence in the writing of national histories of the book in Britain and Ireland and a strong presence in mediaeval English Palaeography. It hosts a variety of Research Seminar series annually, and about twenty conferences, as well as an ambitious publishing programme."</t>
  </si>
  <si>
    <t>$2,100/month for 2-4 months</t>
  </si>
  <si>
    <t>"Sponsorship of research at the John Carter Brown Library is reserved exclusively for scholars whose work is centered on the colonial history of the Americas, North and South, including all aspects of European, African, and Native American engagements in global and comparative contexts. Short-term fellowships are open to individuals who are engaged in pre- and post-doctoral, or independent research, regardless of nationality. Graduate students must have passed their preliminary or general examinations at the time of application."</t>
  </si>
  <si>
    <t>$4,200/month for 5-10 months</t>
  </si>
  <si>
    <t>"The John Carter Brown Library offers long-term fellowships, several of which are funded by the National Endowment for the Humanities (NEH), an independent agency of the U.S. Federal government. Additional long-term fellowships have been made possible by Donald L. Saunders; R. David Parsons; and The Reed Foundation, which has endowed the InterAmericas Fellowship (for research on the history of the West Indies and the Caribbean basin). Fellowships funded by the NEH are only available to citizens of the United States or to those applicants residing in the U.S. for the three years preceding application. Applicants of all nationalities, however, will be considered for long-term fellowships."</t>
  </si>
  <si>
    <t>Institute of Historical Research Fellowships</t>
  </si>
  <si>
    <t>No updated DEADLINE as of 10.30.18
"The IHR is a working and meeting place for historians from all over the world and houses two major research centres – the Victoria County History and the Centre for Metropolitan History.  "</t>
  </si>
  <si>
    <t>Warburg Institute Funded Fellowships</t>
  </si>
  <si>
    <t>~$50,000</t>
  </si>
  <si>
    <t>"The Warburg Institute exists principally to further the interdisciplinary study of the classical tradition, that is of those elements of European thought, literature, art and institutions which derive from the ancient world. The classical tradition is conceived as the theme which unifies the history of Western civilisation. The emphasis is less on ‘classical’ values in art and literature (in fact, all the strands that link medieval and modern civilisation with its origins in the ancient cultures of the Near East and the Mediterranean are represented in the Library), than on the element of continuity: the tenacity of symbols and images in European art and architecture, the persistence of motifs and forms in Western languages and literatures, the gradual transition, in Western thought, from magical beliefs to religion, science and philosophy, and the survival and transformation of ancient patterns in social customs and political institutions."</t>
  </si>
  <si>
    <t>travel stipend</t>
  </si>
  <si>
    <t>No updated DEADLINE as of 10.30.18
"With its internationally renowned library, the ICS provides outstanding research facilities for scholars working in the fields of Ancient Greek and Latin languages and literature, Ancient History, Mycenaean Studies, Classical Archaeology and Ancient Philosophy. Specialist archive rooms are dedicated to research in the Ancient Theatre, in Epigraphy and Papyrology, and for the Ancient Commentators on Aristotle Project. Offices for research fellows are located within the area of the library. A computing room is well supplied with electronic information resources in Classics and related fields."</t>
  </si>
  <si>
    <t>Institute of Philosophy Fellowship</t>
  </si>
  <si>
    <t>A&amp;H
Philosophy</t>
  </si>
  <si>
    <t>"The Institute welcomes applications from philosophers who wish to visit London, and can offer its own office space and other facilities. Fellows are encouraged to take an active part in the life of the Programme, and in the many other philosophical activities in London. The Aristotelian Society holds its fortnightly meetings in Senate House, and the Royal Institute of Philosophy holds weekly meetings in nearby Gordon Square. Prospective fellows may apply for a visit of up to one year. Fellows may work in any area of philosophy."</t>
  </si>
  <si>
    <t>A&amp;H
Religion</t>
  </si>
  <si>
    <t>"Each year, the Women’s Studies in Religion Program at the Harvard Divinity School hosts five full-time research associate/visiting faculty positions. Proposals for book-length research projects utilizing both religion and gender as central categories of analysis are welcomed. Priority will go to book projects for which most research has been completed. The projects may address women and religion in any time, place or religious tradition, and may utilize disciplinary and interdisciplinary approaches from across the fields of theology, the humanities, and the social sciences. Associates meet together regularly for collective discussion of research in progress; each Associate teaches a one-semester course related to the research project; and the Associates present their research in a public lecture series and an annual conference. Full-time residence at Harvard Divinity School is required for the ten month term."</t>
  </si>
  <si>
    <t>A&amp;H
Religion, journalism, int'l affairs</t>
  </si>
  <si>
    <t>"These fellowships support scholars in the humanities and related social sciences who are pursuing research on any aspect of religion in international contexts and who desire to connect their specialist knowledge with journalists and media practitioners. The ultimate goal of the research should be a significant piece of scholarly work by the applicant and concrete steps to engage journalistic and media audiences."</t>
  </si>
  <si>
    <t>A&amp;H
SocSci</t>
  </si>
  <si>
    <t>"The Paris Institute for Advanced Study welcomes applications from high level international scholars and scientists in the fields of the humanities and the social sciences for a research stay of five or ten months. The researchers will benefit from the scientific environment of the Institute and have the opportunity to create contacts with researchers in the academic institutions of Greater Paris.  It is open to any discipline and theme in the humanities and social sciences, and can have an interdisciplinary dimension. Special attention will be paid this year to projects directly or indirectly related to the theme of the urban and the metropolises. The Paris IAS provides its fellows with housing, a monthly remuneration, and a round-trip flight. "</t>
  </si>
  <si>
    <t>"NIAS offers individual fellowships to scholars who wish to carry out advanced research in the humanities and the social sciences. For five or ten months, scholars are offered the time and space to work on a topic of their own choice. Scholars must have at least 3 years of post-Ph.D. degree academic experience and have already made a considerable contribution to their field. The fellowships provide a stipend and housing accommodations."</t>
  </si>
  <si>
    <t>"The Heidelberg Centre for Transcultural Studies (HCTS) is a central institute of Heidelberg University that builds on the structures established by the Cluster of Excellence “Asia and Europe in a Global Context” and assembles outstanding scholars from all over the world and from any discipline to engage in an interdisciplinary dialogue with a focus on the dynamics of global transcultural processes. The HCTS offers up to 8 temporary fellowships (lasting from 6 months up to 2 years) to senior and junior scholars in all fields, but especially in the humanities and the social sciences."</t>
  </si>
  <si>
    <t>2018 Deadline was January 12
"The Fellowships are intended to provide opportunities for academics specializing in any area of arts and social sciences to visit and spend time at the Faculty of Arts and Social Sciences, conducting research and giving lectures and seminars. Fellows are expected to engage in collaborative research with faculty members. The typical duration of IMMF is one month or less. The IMMF is open to scholars in any area of the humanities and social sciences. Priority will be given to those who can contribute to the strategic areas of research of the Faculty with collaborative projects or projects leading to a major grant proposal."</t>
  </si>
  <si>
    <t>up to £33,000 (~$42,000)</t>
  </si>
  <si>
    <t>No updated DEADLINE as of 10.30.18
"These fellowships are available to academics based in any country overseas; they will allow researchers to work with colleagues at UK host institutions in order to develop new research collaborations and/or deepen existing partnerships."</t>
  </si>
  <si>
    <t>A&amp;H
SocSci
Religion</t>
  </si>
  <si>
    <t>mid-career/senior academic</t>
  </si>
  <si>
    <t>£5,000</t>
  </si>
  <si>
    <t>"These Fellowships are offered to support research in any area of the arts, humanities, or the social sciences that has relevance to the study of Islam or the Muslim world. Each Fellowship carries a grant of £5,000 and membership of the Common Room. The grant is intended as a supplementary award and may be held in conjunction with other research grants, stipends, or sabbatical salaries. Fellowships are tenable from 1 October for an academic year, though shorter periods will be considered."</t>
  </si>
  <si>
    <t>org</t>
  </si>
  <si>
    <t xml:space="preserve">A&amp;H
Translation </t>
  </si>
  <si>
    <t>Published</t>
  </si>
  <si>
    <t>2018 DEADLINE was February 7
"The primary focus of the residency program is to afford literary translators a period of uninterrupted work on a current project, within an international community of translators. The Banff International Literary Translation Centre is open to literary translators from Canada, Mexico, and the United States translating from any language, and to international translators working on literature from the Americas. Applicants must have published at least one book-length literary translation (or equivalent). The award amount can cover the entire cost for a three-week internship, as well as a travel award if necessary."</t>
  </si>
  <si>
    <t>A&amp;H
Writing</t>
  </si>
  <si>
    <t>"An annual scholarship to support travel abroad for gifted American-born poets. The candidate must submit a poetry sample for consideration. The recipient must agree to spend one year outside of continental North America in whatever place the recipient deems best suited to advance the art of poetry as practiced by him/her. At the end of the year abroad, the poet must submit at least three poems for consideration by the scholarship committee. "</t>
  </si>
  <si>
    <t>By invitation</t>
  </si>
  <si>
    <t>"The Amy Clampitt Fund seeks to benefit poetry and the literary arts by converting Amy Clampitt’s prior residence into a facility which would provide for a place to foster the study and promotion of poetry and/or a poet in residence through six to twelve month residencies at the Amy Clampitt House near Lenox. "</t>
  </si>
  <si>
    <t>Area and Regional Studies</t>
  </si>
  <si>
    <t>"The Institute of Commonwealth Studies is the only postgraduate academic institution in the United Kingdom devoted to the study of the Commonwealth. Its purpose is to promote inter-disciplinary and inter-regional research on the Commonwealth and its member nations in the fields of history, politics, economics and other social sciences, and in subjects like development, environment, health, migration, class, race, and literature."</t>
  </si>
  <si>
    <t>Area Studies</t>
  </si>
  <si>
    <t xml:space="preserve">$3,700/month, 2-6 months </t>
  </si>
  <si>
    <t>"Projects in all fields in the social sciences and humanities are eligible. Proposals in other areas that contribute to the understanding of Sri Lankan history, culture, or society are also invited. Applicants need not have prior research experience in Sri Lanka. The Fellowship includes a monthly stipend for a period of two to six months, reimbursement for round-trip airfare, and a limited budget for research expenses. Applicants should apply for whatever length of tenure between two and six months best suits their research needs and personal schedules."</t>
  </si>
  <si>
    <t>Area Studies
General</t>
  </si>
  <si>
    <t>"The B.A.E.F encourages applications for fellowships for advanced study or research during the academic year at a Belgian University or institution of higher learning. The B.A.E.F. will award up to ten fellowships as outright non-renewable grants. Fellows are expected to stay for a period of 12 months in Belgium and the minimum fellowship period is 6 months."</t>
  </si>
  <si>
    <t>Area Studies
History</t>
  </si>
  <si>
    <t>"for a period of research lasting three months to a year. $1,000 of this Fellowship amount will be allocated for registration and travel support to the 2018 or 2019 ASOR Annual Meeting, where the successful applicant will be expected to present a paper on his or her research. This Fellowship is primarily intended to support field/research on ancient Mesopotamian civilization carried out in the Middle East, but other projects such as travel to work on museum collections or archives related to ancient Mesopotamia will also be considered."</t>
  </si>
  <si>
    <t>"The Renaissance Society of America will award up to thirteen RSA research fellowships in amounts of $3,000 for research travel. All applicants for a Short-Term Research Fellowship are automatically considered for the Kristeller Fellowship, and may indicate if they also wish to be considered for the Palisca and Pedretti Fellowships, if eligible. For more information about application requirements please click on the name of the fellowship."
Paul Oskar Kristeller Fellowship in all subjects
RSA Short-Term Research Fellowship in all subjects. These are usually divided evenly between Senior, Junior, and Non-doctoral scholars.
Claude V. Palisca Fellowship in Musicology
The Pedretti Fellowship in Leonardo da Vinci Studies</t>
  </si>
  <si>
    <t>Lifetime</t>
  </si>
  <si>
    <t>"For the past 35 years, the National Endowment for the Arts has honored our nation’s master folk and traditional artists with the National Heritage Fellowship. This lifetime achievement award recognizes the ways these individuals demonstrate and reflect our nation’s living cultural heritage and the efforts of these artists to share their knowledge with the next generation. The NEA National Heritage Fellowships celebrate the vitality of America’s folk and traditional arts, supporting ethnic and cultural diversity as a strength national of character."</t>
  </si>
  <si>
    <t>MOVE TO AWARDS
"The Arts Endowment will honor musicians who represent a range of styles and instruments. In addition, one fellowship -- the A.B. Spellman NEA Jazz Masters Fellowship for Jazz Advocacy -- will be given to an individual who has made major contributions to the appreciation, knowledge, and advancement of the American jazz art form....
The NEA Jazz Masters Fellowships are awarded to living individuals on the basis of nominations from the public including members of the jazz community. The NEA encourages nominations of a broad range of men and women who have been significant to the field of jazz through vocal and instrumental performance, creative leadership, and education. Successful nominees will demonstrate significant contribution to the art form through their body of work in the field of jazz."</t>
  </si>
  <si>
    <t>NYSCA/NYFA Artists’ Fellowships</t>
  </si>
  <si>
    <t>"NYSCA/NYFA Artist Fellowships, awarded in fifteen different disciplines over a three-year period, are $7,000 cash awards made to individual originating artists living and working in the state of New York for unrestricted use. These fellowships are not project grants but are intended to fund an artist’s vision or voice, regardless of the level of his or her artistic development." 2018 disciplines are Fiction, Folk/Traditional Arts, Interdisciplinary Work, Painting, Video/Film</t>
  </si>
  <si>
    <t>TBA</t>
  </si>
  <si>
    <t>Robert Giard Fellowship</t>
  </si>
  <si>
    <t>Creative Arts
Visual Art
Gender studies</t>
  </si>
  <si>
    <t>Not awarded at moment. Last deadline: 11/15/17
"An annual award named for Robert Giard, a portrait, landscape, and figure photographer whose work often focused on LGBTQ lives and issues, this award is presented to an emerging or mid-career artist, from any country, working in photography, photo-based media, or moving image, including experimental, narrative, or documentary forms of these media. The award now alternates annually between artists working with still image (photography) and those working with moving image (video or film). This year’s award is for still images. This award will support the development or completion of a project, one that is new or continuing, that addresses issues of sexuality, gender, or LGBTQ identity. The Foundation is receptive to a variety of projects and approaches to these topics."</t>
  </si>
  <si>
    <t>Creative Arts
Writing</t>
  </si>
  <si>
    <t>"The National Endowment for the Arts Literature Fellowships program offers $25,000 grants in prose (fiction and creative nonfiction) and poetry to published creative writers that enable the recipients to set aside time for writing, research, travel, and general career advancement.
The National Endowment for the Arts Literature Fellowships program operates on a two-year cycle with fellowships in prose and poetry available in alternating years."</t>
  </si>
  <si>
    <t>Gender Studues</t>
  </si>
  <si>
    <t>"An award to be given annually for a graduate student, an academic, or an independent scholar for work on a dissertation, a first book manuscript, or a second book manuscript. The CLAGS Fellowship is open to intellectuals contributing to the field of LGBTQ studies. Intended to give the scholar the most help possible in furthering their work, the fellowship will be able to be used for research, travel, or writing support."</t>
  </si>
  <si>
    <t>Academic Cross-Training Fellowship</t>
  </si>
  <si>
    <t>&lt;$217,400 for up to 3 years</t>
  </si>
  <si>
    <t>"Fellowship program is intended to equip recently tenured philosophers and theologians with the skills and knowledge needed to study Big Questions that require substantive and high-level engagement with empirical science.
Each ACT Fellowship will provide up to $217,400 for up to 3 contiguous years of support for a systematic and sustained course of study in an empirical science such as physics, psychology, biology, genetics, cognitive science, neuroscience, or sociology. Acceptable courses of study might range from a plan to audit undergraduate and graduate-level courses to a plan to earn a degree in an empirical science. Fellows may undertake their study at their home institution or another institution. All fellows must have a faculty mentor in their cross-training discipline."</t>
  </si>
  <si>
    <t>$1,000/week AUD
$700/week AUD for accommodations
travel support</t>
  </si>
  <si>
    <t>"The National Library of Australia offers a range of Fellowships and Scholarships for established and emerging researchers, practising writers and creative artists, and younger scholars. These are designed to stimulate sustained scholarly, literary and artistic use of our collections, and promote lively interaction within the Library’s community.  Through the program, researchers gain in-depth access to Library collections and staff expertise, financial assistance, and uninterrupted time for research in a respected and supportive scholarly environment." "The National Library of Australia Fellowships support researchers to make intensive use of the Library’s rich and varied collections over a sustained period of three months."</t>
  </si>
  <si>
    <t>"The Kauffman Foundation is issuing the 2018 Knowledge Challenge: Insight to Impact, a call for projects aimed at learning how we can most effectively lower the barriers and create the knowledge needed by the makers, doers and dreamers so they can take charge of their own destinies and achieve uncommon things.
Ultimately, the Knowledge Challenge seeks to increase entrepreneurial success, which can’t happen unless entrepreneurs, entrepreneurship program and policy designers, ecosystem leaders and researchers have more insight into what works and what doesn’t work in encouraging and sustaining startups."</t>
  </si>
  <si>
    <t>Distinguished Fellows Grants</t>
  </si>
  <si>
    <t>Reporting information available only.  Emailed for information on 4.10.18.</t>
  </si>
  <si>
    <t>"Guggenheim Fellowships are intended for individuals who have already demonstrated exceptional capacity for productive scholarship or exceptional creative ability in the arts....The Foundation receives approximately 3,000 applications each year. Although no one who applies is guaranteed success in the competition, there is no prescreening: all applications are reviewed. Approximately 175 Fellowships are awarded each year."</t>
  </si>
  <si>
    <t>All</t>
  </si>
  <si>
    <t>&lt;$40,000 for Assistant Professor 
&lt;$50,000 for Associate Professor 
&lt;$70,000 for full Professor</t>
  </si>
  <si>
    <t>"Each year the Academy welcomes about two dozen fellows to the Hans Arnhold Center, on Lake Wannsee. The Academy also hosts a small number of invited Distinguished Visitors for shorter stays of one to four weeks, and organizes a diverse public program that includes lectures and presentations by resident fellows, Distinguished Visitors, and guest speakers.
In addition to placing a high priority on the independent work of its fellows, the Academy is in a unique position to aid fellows in establishing professional networks, both in Berlin and beyond. The Academy’s public atmosphere, which actively encourages fellows to introduce their work to wider audiences, serves its mission of fostering transatlantic ties through cultural exchange."</t>
  </si>
  <si>
    <t>travel, lodging, meals at 4 gatherings</t>
  </si>
  <si>
    <t>"The Obama Foundation Fellows will be a diverse set of community-minded rising stars – organizers, inventors, artists, entrepreneurs, journalists, and more – who are altering the civic engagement landscape. By engaging their fellow citizens to work together in new and meaningful ways, Obama Foundation Fellows will model how any individual can become an active citizen in their community....
Our two-year, non-residential Fellowship will offer hands-on training, resources, and leadership development. Fellows will also participate in four multi-day gatherings where they will collaborate with each other, connect with potential partners, and collectively push their work forward. Throughout the program, each Fellow will pursue a personalized plan to leverage Fellowship resources to take their work to the next level."</t>
  </si>
  <si>
    <t>American Fellowships Postdoctoral Research Leave Fellowship</t>
  </si>
  <si>
    <t>non-tenured</t>
  </si>
  <si>
    <t>"The primary purpose of the Postdoctoral Research Leave Fellowship is to increase the number of women in tenure-track faculty positions and to promote equality for women in higher education. This fellowship is designed to assist the candidate in obtaining tenure and further promotions by enabling her to spend a year pursuing independent research."</t>
  </si>
  <si>
    <t>OTHER DEADLINE: 10/15/18
"DAAD grants provide foreign academics and scientists with an opportunity to carry out research and continue their education in Germany. The aim of this particular programme is to support short-term research stays and thus promote the exchange of experience and networking amongst colleagues. Research stays can be funded at state or state-recognised institutions of higher education or non-university research institutes in Germany and last one to three months, providing monthly payments as well as travel allowances."</t>
  </si>
  <si>
    <t>not offered 2018-19</t>
  </si>
  <si>
    <t>&lt;$60,000 per collaborator to $180,000
&lt;$21,000 project costs</t>
  </si>
  <si>
    <t>"The goal of the project should be a tangible research product (such as joint print or web publications) for which at least two collaborators will take credit....
[T]he aim of the fellowship program is to support scholarship that highlights the intellectual significance and innovation of collaborative research."</t>
  </si>
  <si>
    <t>&lt;4 years postdoc
early career</t>
  </si>
  <si>
    <t>"Submit an application if you are a researcher from abroad with above average qualifications, at the beginning of your academic career and only completed your doctorate in the last four years. A Humboldt Research Fellowship for postdoctoral researchers allows you to carry out long-term research (6-24 months) in Germany. Applicants choose their own topic of research and their academic host.
Scientists and scholars of all nationalities and disciplines may apply to the Alexander von Humboldt Foundation online at any time."</t>
  </si>
  <si>
    <t>$500-20,000
Average $8,000</t>
  </si>
  <si>
    <t>"To support professionals in the social sciences and humanities, including economics, international affairs, government/politics, and philosophy"</t>
  </si>
  <si>
    <t>up to £32,000 (~$41,000)</t>
  </si>
  <si>
    <t>No updated DEADLINE as of 10.30.18
"The Newton International Fellowship Scheme was established in 2008 to select the very best early career postdoctoral researchers from all over the world, and enable them to work at UK research institutions for two years. The scheme is offered by the Royal Society, British Academy and Academy of Medical Sciences. Subjects covered: Physical sciences, natural sciences, social sciences, and the humanities. Eligible applicants for these disciplines can apply from any country outside the UK."</t>
  </si>
  <si>
    <t>General
Race studies</t>
  </si>
  <si>
    <t>"The W.E.B. Du Bois Fellowship places particular emphasis on crime, violence and the administration of justice in diverse cultural contexts within the United States."
"This W.E.B. Du Bois Program furthers the Department’s mission by advancing knowledge regarding the confluence of crime, justice, and culture in various societal contexts. This year NIJ is growing the W.E.B. Du Bois Program to fund both scholars who are advanced in their careers and seek to conduct research which advances the study of race and crime, as well as fellows who are early in their careers and seek the opportunity to elevate their research ideas to the level of national discussion."</t>
  </si>
  <si>
    <t>$21,250 for 6-9 months</t>
  </si>
  <si>
    <t>"The Fellowships in Aerospace History are offered annually by the National Aeronautics Space Administration (NASA) to support significant scholarly research projects in aerospace history. These fellowships grant the opportunity to engage in significant and sustained advanced research in all aspects of the history of aerospace from the earliest human interest in flight to the present, including cultural and intellectual history, economic history, history of law and public policy, and the history of science, engineering, and management. NASA provides funds to the American Historical Association, the History of Science Society, and the Society for the History of Technology to allow each association to award a fellowship. Applications will be entered into consideration for all three fellowships.... The fellow will be expected to devote the term entirely to the proposed research project. Residency is not required."</t>
  </si>
  <si>
    <t>Loeb Classical Library Foundation Fellowship</t>
  </si>
  <si>
    <t>aculty or faculty emeritus</t>
  </si>
  <si>
    <t>$1,000 to $35,000</t>
  </si>
  <si>
    <t>"The Loeb Classical Library Foundation awards fellowships to qualified scholars to support research, publication, and other projects in the area of classical studies. Fellowships will normally range from $1,000 to $35,000, and may occasionally exceed that limit in the case of unusually interesting and promising projects.
Applicants must have faculty or faculty emeritus status at a college or university at the time of application and during the entire time covered by the fellowship. Fellowships may be used for a wide variety of purposes. Examples include publication of research, enhancement of sabbaticals, travel to libraries or collections, dramatic productions, excavation expenses, or cost of research materials."</t>
  </si>
  <si>
    <t>temporarily suspended</t>
  </si>
  <si>
    <t>Language and Area Studies</t>
  </si>
  <si>
    <t>post-graduate scholars in all disciplines</t>
  </si>
  <si>
    <t>Proposals are invited from graduate and post-graduate scholars in all disciplines. Collaborative or group projects are also invited. [there is a temporary federal ban on study in Yemen]</t>
  </si>
  <si>
    <t>Institute of Latin American Studies Fellowship</t>
  </si>
  <si>
    <t>"The Institute of Latin American Studies promotes, coordinates and provides a focus for research on Latin America and the Caribbean, in social sciences and the humanities. The Institute welcomes applications for Visiting Research Fellowships from scholars of international distinction whose research is in a field relevant to the Institute’s work. Applicants must have a PhD or be of postdoctoral standing."</t>
  </si>
  <si>
    <t>Institute of Modern Languages Research Fellowship</t>
  </si>
  <si>
    <t>No updated DEADLINE as of 10.30.18
"The Institute of Modern Languages Research offers opportunities for visiting scholars, with or without funding, to conduct research into any field relevant to the work of the Institute."</t>
  </si>
  <si>
    <t>"Established in 1957, the distinction of Fellow is the highest honor bestowed on individuals by SAA and is awarded for outstanding contributions to the archival profession."</t>
  </si>
  <si>
    <t>Rita Allen Foundation</t>
  </si>
  <si>
    <t>Science
Biomedical research</t>
  </si>
  <si>
    <t>EARLY 2019
"The Rita Allen Foundation currently makes grants for charitable purposes in two primary domains:
Investing in young leaders in science and social innovation
Promoting civic literacy and engagement
Within these domains, the Foundation identifies organizations for funding based on its goals and strategies. While the vast majority of our grant making is conducted through the Rita Allen Foundation Scholars program and through the Foundation’s research and consultation with sector experts, we also provide an opportunity for nonprofit organizations to submit unsolicited Letters of Inquiry if they believe they are an excellent fit for our portfolio. This process allows us to open lines of communication with a diverse pool of organizations."</t>
  </si>
  <si>
    <t>Membership</t>
  </si>
  <si>
    <t xml:space="preserve">IAS encourages applicants to submit by 10/15
“Founded in 1973, the School of Social Science takes as its mission the analysis of contemporary societies and social change. It is devoted to a pluralistic and critical approach to social research, from a multidisciplinary and international perspective…. To facilitate scientific engagement among the visiting scholars, the School defines a theme for each year. Approximately one half of Members selected pursue work related to it and contribute to a corresponding seminar....  The School of Natural Sciences will have several openings for members in theoretical physics, astrophysics, and biology for the academic year 2019-2020. The positions are at a postdoctoral or higher level in the areas of astrophysics, theoretical biology, cosmology, mathematical physics, quantum field theory, particle phenomenology, string theory and quantum gravity. Postdoctoral members are selected on their ability to conduct independent research but they frequently collaborate with each other, with faculty members at the Institute or Princeton University, and with researchers at other institutions.” </t>
  </si>
  <si>
    <t>"The Division of Earth Sciences (EAR) awards Postdoctoral Fellowships to recent recipients of doctoral degrees to carry out an integrated program of independent research and professional development.  Fellowship proposals must address scientific questions within the scope of EAR disciplines and must align with the overall theme for the postdoctoral program. The program supports researchers for a period of up to two years with fellowships that can be taken to the institution of their choice (including institutions abroad). The program is intended to recognize beginning investigators of significant potential, and provide them with research experience, mentorship, and training that will establish them in leadership positions in the Earth Sciences community."</t>
  </si>
  <si>
    <t>First Tuesday in November Annually
"The Directorate for Biological Sciences (BIO) awards Postdoctoral Research Fellowships in Biology to recent recipients of the doctoral degree for research and training in selected areas supported by BIO and with special goals for human resource development in biology.  The fellowships encourage independence at an early stage of the research career to permit Fellows to pursue their research and training goals in the most appropriate research locations regardless of the availability of funding for the Fellows at that site....
The fellowships are also designed to provide active mentoring of the Fellows by the sponsoring scientists who will benefit from having these talented young scientists in their research groups. The research and training plan of each fellowship must address important scientific questions within the scope of the BIO Directorate and the specific guidelines in this fellowship program solicitation."</t>
  </si>
  <si>
    <t>For over half a century, the James McKeen Cattell Fund has provided support for the science and the application of psychology. The Fund offers a program of supplementary sabbatical awards ("James McKeen Cattell Fund Fellowships"). These awards supplement the regular sabbatical allowance provided by the recipients' home institutions, to allow an extension of leave-time from one to two semesters.</t>
  </si>
  <si>
    <t>Fellowships for Advanced Social Science Research in Japan</t>
  </si>
  <si>
    <t>"The Fellowships for Advanced Social Science Research on Japan program is a joint activity of the Japan-U.S. Friendship Commission (JUSFC) and the National Endowment for the Humanities. Awards support research on modern Japanese society and political economy, Japan's international relations, and U.S.-Japan relations. The program encourages innovative research that puts these subjects in wider regional and global contexts and is comparative and contemporary in nature. Research should contribute to scholarly knowledge or to the general public’s understanding of issues of concern to Japan and the United States. Appropriate disciplines for the research include anthropology, economics, geography, history, international relations, linguistics, political science, psychology, public administration, and sociology. Awards usually result in articles, monographs, books, digital materials, archaeological site reports, translations, editions, or other scholarly resources."</t>
  </si>
  <si>
    <t>early career &lt;10 years postdoc</t>
  </si>
  <si>
    <t>"By providing funds for scholars to devote themselves to full-time work on a research-related film, the Foundation aims to enable a new generation of scholars to present their work via this medium. Broadly speaking, we seek to support projects that will have an impact on the field of anthropology -- as well as outreach beyond the academy -- through the support of exciting new and innovative work in the field of ethnographic film."</t>
  </si>
  <si>
    <t>"For the current application round, the Open Society Fellowship invites proposals relevant to the following propositions:
Human rights are under siege everywhere. Why?
Those who carry out human rights analysis and reporting have been seduced by legal frameworks and largely ignore imbalances of power that lead to rights violations.
Political leaders increasingly play on fears that human rights are a Trojan Horse, threatening societies by promising rights to dangerous “others.”
These statements are intended as a provocation—to stimulate productive controversy and debate"
"Ideal fellows are specialists who can see beyond the parochialisms of their field and possess the tenacity to complete a project of exceptional merit. Proposals will be accepted from anywhere in the world, although demonstrable proficiency in spoken and written English is required. Applicants should possess and demonstrate a deep understanding of the major themes embedded within the statement for which they wish to apply and be willing to serve in a cohort of fellows with diverse occupational, geographic, and ideological profiles. Successful applicants should be eager to exploit the many resources offered by the Open Society Foundations and be prepared to engage constructively with our global network."</t>
  </si>
  <si>
    <t>between 3 and 12 months of “full time support”</t>
  </si>
  <si>
    <t>NOT CURRENTLY ACCEPTING APPLICATIONS
"Applicants are invited to submit proposals for research in the social sciences and related disciplines relevant to any one or any combination of the four themes below. The themes are:
1) Threats to Personal, Societal, and International Security
Especially welcome topics include food, water, and energy insecurity; pandemics; climate change; disaster preparedness, prevention, and recovery; and conflict, terrorism, and cyber security. 
2) Growth and Sustainable Development
Especially welcome topics include global financial stability, trade imbalances and agreements, adjustment to globalization, climate change and adaptation, and poverty and inequality.
3) Social, Scientific, and Cultural Trends and Transformations
Especially welcome topics include aging and other demographic change, benefits and dangers of reproductive genetics, gender and social exclusion, expansion of STEM education among women and under-represented populations, migration, rural depopulation and urbanization, impacts of automation on jobs, poverty and inequality, and community resilience.
4) Governance, Empowerment, and Participation
Especially welcome topics include challenges to democratic institutions, participatory governance, human rights, the changing role of NGO/NPOs, the rise of new media, and government roles in fostering innovation....
Rather than seeking to promote greater understanding of a single country—Japan or the United States—the Abe Fellowship Program encourages research with a comparative or global perspective. The program promotes deeply contextualized cross-cultural research."</t>
  </si>
  <si>
    <t>Soros Justice Fellowship</t>
  </si>
  <si>
    <t>$52,500-120,000</t>
  </si>
  <si>
    <t>"The Soros Justice Fellowships fund outstanding individuals to undertake projects that advance reform, spur debate, and catalyze change on a range of issues facing the U.S. criminal justice system.... The Soros Justice Advocacy Fellowships fund lawyers, advocates, grassroots organizers, researchers, and others with unique perspectives to undertake full-time criminal justice reform projects at the local, state, and national levels.... The Soros Justice Media Fellowships support writers, print and broadcast journalists, artists, filmmakers, and other individuals with distinctive voices proposing to complete media projects that engage and inform, spur debate and conversation, and catalyze change on important U.S. criminal justice issues.... The Soros Justice Youth Activist Fellowships, in partnership with the Open Society Youth Exchange, support outstanding individuals aged 18 to 25 to take on projects of their own design that address some aspect of the U.S. criminal justice system."</t>
  </si>
  <si>
    <t>The Louis O. Kelso Fellowships</t>
  </si>
  <si>
    <t>"The Louis O. Kelso Fellowships are awarded to outstanding scholars studying the topic of broadened ownership of capital in a democraticsociety in the United States. Ph.D. candidates, postdoctoral scholars, or visiting professors in the areas of business/economics/labor studies/management, history, law, philosophy, political science, psychology, public policy, or sociology may apply.... 
The general theme of the fellowship includes the study of the idea and practice and public policy of broadening the ownership of capital assets in society such as the Employee Stock Ownership Plan (ESOP), which broadens the ownership of corporations, as well as approaches whereby consumers may have capital ownership of enterprises and individual citizens may have access to opportunities for capital acquisition. The relevance of these and other related ideas to the concept of economic democracy and democratic capitalism can also be pursued.
The fellows may be supported at their home institution or may be in residence at Rutgers University with the period and length of residency varying between July 1 and June 30 of the academic year.  The fellows will receive stipends of $12,500 that can be used for research, travel, or living expenses."</t>
  </si>
  <si>
    <t>High Ed</t>
  </si>
  <si>
    <t>"The Beyster fellowships are awarded to outstanding Ph.D. candidates or postdoctoral scholars in the areas of economics, history, management, business and labor relations, law, philosophy, psychology, political science, public policy, and sociology studying employee ownership and related ideas such as profit sharing and broad-based stock options in the corporation and society in the United States. The fellowships permit the students to associate with several scholars engaged in this area of research at Rutgers and receive mentoring and support.... [The Postdoctoral Fellowship] will support pre-tenure scholars and recent Ph.D. graduates.The stipend is $25,000 for one year and can be used for research, travel, and living expenses. The fellow can be a resident at Rutgers University or at their home institution. The period and length of residency varies.... [The Visiting Professor] supports a scholar who holds an academic appointment at another university and visits Rutgers in order to collaborate with researchers at the university."</t>
  </si>
  <si>
    <t>$35,000/3 years</t>
  </si>
  <si>
    <t>Nominations due 1/16/18; applications due 3/12/18
"The Kauffman Foundation established the Kauffman Junior Faculty Fellowship in Entrepreneurship Research in 2008 to recognize tenured or tenure-track junior faculty members at accredited U.S. universities who are beginning to establish a record of scholarship and exhibit the potential to make significant contributions to the body of research in the field of entrepreneurship."</t>
  </si>
  <si>
    <t>3-6 months</t>
  </si>
  <si>
    <t>Not currently accepting applications.
"DSD-funded research must address the primary theme of drugs in Latin America or the Caribbean. Proposals must demonstrate the potential for the research to contribute to a sound and credible knowledge base for informed advocacy and decision-making for drug policy. For the current fellowship competition, applications must address one of the following topics:
Drug policy / legal reform, including different depenalization, decriminalization, legalization, and regulation approaches as well as country-specific obstacles to reform
Marijuana, including legalization for medical use
Impact of drug laws on prison systems, including costs associated with pretrial detention for drugs
The dynamics and relationships between legal pharmaceutical drug markets and illicit drug production, including barriers to access and incentives/disincentives for producers
Drug policy and the peace process in Colombia
Analysis of institutional resource distribution between criminal and public health approaches to drug use
Drug economy and its dynamics
Preference will be given to candidates researching the aforementioned topics in Brazil, Caribbean countries, Central American countries, Colombia, Ecuador, Mexico, Peru, and Uruguay."</t>
  </si>
  <si>
    <t>By nomination
11/8/18</t>
  </si>
  <si>
    <t>"established and emerging scholars"</t>
  </si>
  <si>
    <t>up tp $200,000</t>
  </si>
  <si>
    <t>"The purpose of the Andrew Carnegie Fellows Program is to support high-caliber scholarship in the social sciences and humanities, making it possible for the recipients to devote time to research and writing that addresses pressing issues and cultural transitions affecting us at home and abroad.... Andrew Carnegie fellowships are open only to citizens or permanent residents of the United States whose names have been forwarded by a nominator designated by Carnegie Corporation of New York. Nominators include university presidents, leaders of think tanks, and editors of various newspapers, magazines, and university presses. Individuals may not apply for the fellows program."
"In 2019, there are four broad topic areas that include a wide range of suggested subtopics:
Strengthening U.S. democracy and exploring new narratives
Technological and cultural creativity—potential and perils
Global connections and global ruptures
Environments, natural and human"</t>
  </si>
  <si>
    <t>"The Smith Richardson Foundation sponsors an annual Strategy and Policy Fellows grant competition to support young scholars and policy thinkers on American foreign policy, international relations, international security, military policy, and diplomatic and military history. The purpose of the program is to strengthen the U.S. community of scholars and researchers conducting policy analysis in these fields."</t>
  </si>
  <si>
    <t>Social Science</t>
  </si>
  <si>
    <t>The Smith Richardson Foundation sponsors an annual “World Politics and Statecraft Fellowship” program, its annual grant competition to support Ph.D. dissertation research on American foreign policy, international relations, international security, strategic studies, area studies, and diplomatic and military history. The purpose of the program is to strengthen the U.S. community of young scholars and researchers conducting policy analysis in these fields by supporting the research and writing of policy-relevant dissertations through funding of field work, archival research, and language training.  In evaluating applications, the Foundation will accord preference to those projects that could directly inform U.S. policy debates and thinking, rather than dissertations that are principally focused on abstract theory or debates within a scholarly discipline.</t>
  </si>
  <si>
    <t>A&amp;H
Music</t>
  </si>
  <si>
    <t>&lt;$3,000</t>
  </si>
  <si>
    <t>"This fellowship, endowed in honor of Adrienne Fried Block, shall be given to support scholarly research leading to publication on topics that illuminate musical life in large urban communities. Preference shall be given to projects that focus on the interconnections among the groups and organizations present in these metropolitan settings and their participation in the wide range of genres that inform the musical life and culture of their cities."</t>
  </si>
  <si>
    <t>"one award of six months for post-doctoral scholars at the institute in Amman through the National Endowment for the Humanities (NEH). The fellowship supports research in the humanities and disciplines of the social sciences that have humanistic content and employ humanistic methods. Fields of research include modern and classical languages, linguistics, literature, history, jurisprudence, philosophy, archaeology, comparative religion, ethics, and the history, criticism, and theory of the arts. Social and political scientists are encouraged to apply. Research topics should contribute to scholarship in Near Eastern studies."</t>
  </si>
  <si>
    <t>Fellowships</t>
  </si>
  <si>
    <t>$4,200/month for 6-12 months</t>
  </si>
  <si>
    <t>"Fellowships support individuals pursuing advanced research that is of value to humanities scholars, general audiences, or both. Recipients usually produce articles, monographs, books, digital materials, archaeological site reports, translations, editions, or other scholarly resources in the humanities."</t>
  </si>
  <si>
    <t>James Marston Fitch Mid-Career Fellowship</t>
  </si>
  <si>
    <t>Not updated as of 9.20.18
"Research grants of up to $15,000 will be awarded to one or two mid-career professionals who have an academic background, professional experience and an established identity in one or more of the following fields: historic preservation, architecture, landscape architecture, urban design, environmental planning, architectural history and the decorative arts. The James Marston Fitch Charitable Foundation will consider proposals for the research and/or the execution of the preservation-related projects in any of these fields."</t>
  </si>
  <si>
    <t xml:space="preserve">Fellowship </t>
  </si>
  <si>
    <t>early mid-career</t>
  </si>
  <si>
    <t>Fellowships will be awarded for 2019-2020 in Painting and Literary Studies. 
"The Howard Foundation awards a limited number of fellowships each year for independent projects in selected fields, targeting its support specifically to early mid-career individuals, those who have achieved recognition for at least one major project....
Fellowships are offered in a five-year sequence of fields. Successful candidates are given the option of postponing receipt of their fellowship, so as to make the Howard competition accessible to those whose personal plans do not line up exactly with the year in which awards are offered in their fields."</t>
  </si>
  <si>
    <t>Fellowship honor</t>
  </si>
  <si>
    <t>DIVISIONS HAVE OTHER DEADLINES, including several on 6/1/18 and 5/1/18
"The criterion for election is exceptional contributions to the physics enterprise; e.g., outstanding physics research, important applications of physics, leadership in or service to physics, or significant contributions to physics education. Fellowship is a distinct honor signifying recognition by one's professional peers."</t>
  </si>
  <si>
    <t>Sciences
Public Policy</t>
  </si>
  <si>
    <t>Fellowship in DC</t>
  </si>
  <si>
    <t>early</t>
  </si>
  <si>
    <t>$75,000-$100,000</t>
  </si>
  <si>
    <t>"AAAS Science &amp; Technology Policy Fellowships (STPF) provide opportunities to outstanding scientists and engineers to learn first-hand about policymaking while contributing their knowledge and analytical skills to the federal policymaking process. Fellows serve yearlong assignments in the executive, legislative and judicial branches of the federal government in Washington. Each year, the program adds to a growing corps over 3,000 strong of policy-savvy leaders working across academia, government, nonprofits and industry to serve the nation and the world."</t>
  </si>
  <si>
    <t>Fellowship in libraries and archives</t>
  </si>
  <si>
    <t>"Gilder Lehrman fellowships support research at archives in New York City.
The Institute provides annual short-term research fellowships in the amount of $3000 each to doctoral candidates, college and university faculty at every rank, and independent scholars working in the field of American history."</t>
  </si>
  <si>
    <t>Franklin Research Grants</t>
  </si>
  <si>
    <t>OTHER DEADLINE: 10/1/18
"The Franklin program is particularly designed to help meet the costs of travel to libraries and archives for research purposes; the purchase of microfilm, photocopies, or equivalent research materials; the costs associated with fieldwork; or laboratory research expenses."</t>
  </si>
  <si>
    <t>Clark Fellowships</t>
  </si>
  <si>
    <t>A&amp;H
Art</t>
  </si>
  <si>
    <t>Fellowship on site</t>
  </si>
  <si>
    <t>up to $30,000</t>
  </si>
  <si>
    <t>"The Clark offers between ten and sixteen Clark Fellowships each year, ranging in duration from one to ten months. National and international scholars, critics, and museum professionals are welcome to propose projects that extend and enhance the understanding of the visual arts and their role in culture. Stipends are dependent on salary and sabbatical replacement needs. Housing in the Clark’s Scholars’ Residence, located across the street from the campus, is provided. A number of special fellowships are also offered."</t>
  </si>
  <si>
    <t>$4200/month for 4-12 months</t>
  </si>
  <si>
    <t>A period of residence to use the AAS library's resources for research and writing.</t>
  </si>
  <si>
    <t>Visiting Senior Fellowships</t>
  </si>
  <si>
    <t>5+ years postdoc</t>
  </si>
  <si>
    <t>$6,000-8,000 plus housing</t>
  </si>
  <si>
    <t>"Fellowships are for full-time research, and scholars are expected to reside in Washington and to participate in the activities of the Center throughout the fellowship period. Lectures, colloquia, and informal discussions complement the fellowship program....
Paul Mellon and Ailsa Mellon Bruce Visiting Senior Fellowships are intended to support research in the history, theory, and criticism of the visual arts (painting, sculpture, architecture, landscape architecture, urbanism, prints and drawings, film, photography, decorative arts, industrial design, and other arts) of any geographical area and of any period. Visiting senior fellowship applications are also solicited from scholars in other disciplines whose work examines artifacts or has implications for the analysis and criticism of visual form."</t>
  </si>
  <si>
    <t>"Competitive fellowships supported by the Kress Foundation are awarded to art historians and art conservators in the final stages of their preparation for professional careers, as well as to students of art history and related fields who are interested in art museum education and curating. To learn more about a particular fellowship and how to apply, select a program below."</t>
  </si>
  <si>
    <t>$3,000-$4,000</t>
  </si>
  <si>
    <t>"Samuel H. Kress Short-Term Research Library Fellowships for Art Historians
Thanks to a generous grant from the Kress Foundation, RSA will award one Samuel H. Kress Short-Term Research Library Fellowship to an art historian at each of the following nine host institutions."
The RSA–Kress Bodleian Library Fellowship, Oxford University, UK
The RSA–Kress Centro Vittore Branca Fellowship, Fondazione Giorgio Cini, Venice, Italy
The RSA–Kress Centre for Reformation and Renaissance Studies (CRRS) Fellowship, Toronto, Ontario, Canada
The RSA–Kress Folger Fellowship, Washington, DC
The RSA–Kress Newberry Fellowship, Chicago, IL
The RSA–Kress Huntington Fellowship, San Marino, CA
The RSA–Kress New York Public Library Fellowship
The RSA–Kress Beinecke Library Fellowship, Beinecke Rare Book &amp; Manuscript Library, Yale University, CT
The RSA–Kress UCLA Library Fellowship, University of California Los Angeles, Special Collections, Los Angeles, CA</t>
  </si>
  <si>
    <t>Senior Fellowships</t>
  </si>
  <si>
    <t>50% of salary &lt;$50,000</t>
  </si>
  <si>
    <t>"The Center for Advanced Study in the Visual Arts announces its program for senior fellowships. Fellowships are for full-time research, and scholars are expected to reside in Washington and to participate in the activities of the Center throughout the fellowship period. Lectures, colloquia, and informal discussions complement the fellowship program....
The Paul Mellon and Ailsa Mellon Bruce Senior Fellowships are intended to support research in the history, theory, and criticism of the visual arts (painting, sculpture, architecture, landscape architecture, urbanism, prints and drawings, film, photography, decorative arts, industrial design, and other arts) of any geographical area and of any period. The Samuel H. Kress Senior Fellowships are intended to support research on European art before the early nineteenth century. The William C. Seitz Senior Fellowship is primarily intended to support research on modern and contemporary art. Senior fellowship applications are also solicited from scholars in other disciplines whose work examines artifacts or has implications for the analysis and criticism of form."</t>
  </si>
  <si>
    <t xml:space="preserve">Residency Program </t>
  </si>
  <si>
    <t>A&amp;H
Creative Arts</t>
  </si>
  <si>
    <t>fellowship on site</t>
  </si>
  <si>
    <t>"The Ucross Foundation Residency Program offers the gift of time and space to competitively selected individuals working in all artistic disciplines.  The Foundation strives to provide a respectful, comfortable and productive environment, freeing artists from the pressures and distractions of daily life." Sheridan, Wyoming</t>
  </si>
  <si>
    <t>Collaborative Cluster Fellowships</t>
  </si>
  <si>
    <t>$500/week</t>
  </si>
  <si>
    <t>No new DEADLINE as of 10.29.18
"The John Carter Brown Library seeks to encourage collaboration among scholars as they explore and shed light on the Library's collections by providing support for group projects. Collaborative Cluster Fellowships are meant to expand the disciplinary scope of research at the Library and support cutting-edge research methods."</t>
  </si>
  <si>
    <t>"The Library Company of Philadelphia and The Historical Society of Pennsylvania will jointly award approximately twenty-five one-month fellowships for research in residence in either or both collections during the academic year 2017-2018. These two independent research libraries, adjacent to each other in Center City Philadelphia, have complementary collections capable of supporting research in a variety of fields and disciplines relating to the history of America and the Atlantic world from the 17th through the 19th centuries, as well as Mid-Atlantic regional history to the present."</t>
  </si>
  <si>
    <t>$25,000-50,000</t>
  </si>
  <si>
    <t>"The Mellon Scholars Fellowship Program aims to promote research in the collections of the Library Company and to enhance the production of scholarly work in African American history of the 17th, 18th, and 19th centuries. Fellows are expected to conduct the majority of their research in the Library Company’s collections but may also use the collections of the Historical Society of Pennsylvania. Fellows must be in residence for the entire term of the award. All fellowship applications are due March 1, 2017, with a decision by April 15. The following research fellowships will be offered for 2017-2018:
Post-doctoral fellowship, with a stipend of $50,000, is tenable from September 1, 2017 through May 31, 2018. The award may be divided between two applicants, each of whom would receive $25,000 for the period September 1, 2017 to January 15, 2018 or January 15, 2018 to May 31, 2018. Recent recipients of the Ph.D. as well as senior scholars may apply, but applicants must hold a Ph.D. by September 1, 2017."</t>
  </si>
  <si>
    <t>J Franklin Jameson Fellowship</t>
  </si>
  <si>
    <t>"The J. Franklin Jameson Fellowship in American History is offered annually by the John W. Kluge Center at the Library of Congress and the American Historical Association to support significant scholarly research in the collections of the Library of Congress by scholars at an early stage in their careers in history."</t>
  </si>
  <si>
    <t>$1,500/four weeks</t>
  </si>
  <si>
    <t>"This fellowship supports research in American religious history involving the collections of the Boston Athenaeum and the Congregational Library &amp; Archives."</t>
  </si>
  <si>
    <t>&lt;$75,000</t>
  </si>
  <si>
    <t>"THE SCHOOL OF HISTORICAL STUDIES supports scholarship in all fields of historical research, but is concerned principally with the history of western, near eastern and Asian civilizations, with particular emphasis upon Greek and Roman civilization, the history of Europe (medieval, early modern, and modern), the Islamic world, East Asian studies, art history, the history of science and philosophy and modern international relations. The School also offers the Edward T. Cone Membership in Music Studies. Each year the School welcomes approximately forty Members selected on the basis of both external and internal review. Most are working on topics in the above mentioned fields, but each year the School also selects some scholars working in other areas of historical research."</t>
  </si>
  <si>
    <t>$16,800-$37,800</t>
  </si>
  <si>
    <t>"National Endowment for the Humanities Post-Doctoral Fellowships support research in residence at the Library Company on any subject relevant to its collections, which are capable of supporting research in a variety of fields and disciplines relating to the history of America and the Atlantic world form the 17th through the 19th centuries....  NEH fellowships are tenable for four to nine months.  The stipend is $4,200 per month."</t>
  </si>
  <si>
    <t>$3,000/month for short term
$50,000 for 9-12 months</t>
  </si>
  <si>
    <t>"The Dibner Program in the History of Science offers scholars the opportunity to work in the Huntington’s Burndy Library and its other resources for the study of history of science and technology."</t>
  </si>
  <si>
    <t>Visiting Scholar Research Program</t>
  </si>
  <si>
    <t>"ISAW's scope embraces research and graduate education in the history, archaeology, and culture of the entire Old World from late prehistoric times to the eighth century AD, including Asia and Africa. Projects of a theoretical or comparative nature relevant to this domain are also welcome. Academic visitors at ISAW should be individuals of scholarly distinction or promise in any relevant field of ancient studies who will benefit from the stimulation of working in an environment with colleagues in other disciplines. Applicants with a history of interdisciplinary exchange are particularly welcome. They will be expected to be in residence at the Institute during the period for which they are appointed and to take part in the intellectual life of the community."</t>
  </si>
  <si>
    <t>Salary replacement plus travel</t>
  </si>
  <si>
    <t>"As part of our mission to support innovation in historical research, The Davis Center welcomes applications for Fellowships from scholars whose research engages broadly and imaginatively with the theme that the Center sets each year. Our aim is to bring to five to six Fellows per semester to the Center where they pursue their own scholarly projects and contribute to the intellectual community of the Center and the university. We are also pleased to announce one residential Postdoctoral Research Associate or more senior position, focused on the more specific topic of “Law &amp; Difference.”"</t>
  </si>
  <si>
    <t>Quentin Skinner Fellowship in Intellectual History Since 1500</t>
  </si>
  <si>
    <t>OTHER DEADLINE: 4/1/19
"In 2009 the Faculty of History [at University of Campbridge] received funding  from the International Balzan Prize Foundation to establish an annual Lecture in modern intellectual history since c. 1500. The Balzan-Skinner scholar held a Visiting Fellowship at CRASSH for one term during the academic year. He/she presented the Balzan-Skinner lecture and participated in the related symposium during the academic year of attendance. This fellowship is now known as the Quentin Skinner Fellowship in Intellectual History since c1500.  Like the Balzan-Skinner scholar the Quentin Skinner fellow will hold a Visiting Fellowship at CRASSH for one term, present the Quentin Skinner lecture, as well as organise and participate in the related symposium."</t>
  </si>
  <si>
    <t>"Houghton Library is pleased to offer short-term visiting fellowships to assist scholars with the cost of travel and accommodation to come and pursue their research at the library....
The collections of Houghton Library touch upon almost every aspect of the human record, particularly the history and culture of Europe and North America, and include special concentrations in the history of printing and of theater. Materials held here range from medieval manuscripts and early printed books to the working papers of living writers. Fellows will also have access to collections in Widener Library as well as to other libraries at the University. Preference is given to scholars whose research is closely based on materials in Houghton collections, especially when those materials are unique; and we particularly welcome proposals for research projects drawing on our holdings related to Africa, the Americas, Asia, and Oceania, and to histories of marginalized people; fellowships are normally not granted to scholars who live within commuting distance of the library. Each fellow is expected to be in residence at Houghton for at least four weeks."</t>
  </si>
  <si>
    <t>$45,000/ 9 months</t>
  </si>
  <si>
    <t>"The Margaret Henry Dabney Penick Resident Scholar Program supports scholarly research into the legacy of Patrick Henry and his political circle, the early political history of Virginia, the history of the American Revolution, founding era ideas and policy-making, as well as science, technology, and culture in colonial America and the Early National Period.... Senior scholars are particularly encouraged to apply, but all applicants must hold a PhD to be awarded the fellowship."</t>
  </si>
  <si>
    <t>A&amp;H
Philosophy &amp; Religion</t>
  </si>
  <si>
    <t>"The Mary Baker Eddy Library awards fellowships annually. These are designed to support original contributions to scholarship. They help further the research of established scholars, graduate students, and recent graduates just beginning their academic careers.
Fellowships are for research work in our collections, centering on the papers of Mary Baker Eddy and records documenting the history of the Christian Science movement. Relevant areas of research include the fields of women’s history; spirituality and health; religious studies; nineteenth-century history; cultural and social history; architecture; and journalism."</t>
  </si>
  <si>
    <t>"The Russell Berrie Fellowship targets priests, women religious, and members of the laity for the purpose of studying at the Angelicum to obtain a Licence Degree or a Diploma in Interreligious Studies. This program is a timely initiative at the Pontifical University of St. Thomas Aquinas (Angelicum). The goal of the Fellowship Program is to build bridges between Christian, Jewish, and other religious traditions by providing the next generation of religious leaders with a comprehensive understanding of and dedication to interfaith issues."  The fellowship is administered by the Institute of International Education (IIE).</t>
  </si>
  <si>
    <t>A&amp;H 
History</t>
  </si>
  <si>
    <t>$2,000-$3,000</t>
  </si>
  <si>
    <t>"Short-term fellowships are awarded for one or more months, and open to academics from any country, subject to selection by committee.  Successful applicants will be working on Jefferson-related projects. Priority is given to Jefferson-related projects using the Digital Archeological Archive of Comparative Slavery or Getting Word.
Fellows are expected to be in residence at the Robert H. Smith International Center for Jefferson Studies (ICJS), where they will have access to Monticello's expert staff and research holdings at the Jefferson Library as well as those of the University of Virginia. During their residencies, fellows hold a 45 minute forum on their research projects."</t>
  </si>
  <si>
    <t>A&amp;H/ Art History</t>
  </si>
  <si>
    <t>$10,000-30,000/3-9 months</t>
  </si>
  <si>
    <t>"It offers two major research libraries: the Blegen, with over 107,000 volumes dedicated to the ancient Mediterranean world; and the Gennadius, with over 146,000 volumes and archives devoted to post-classical Hellenic civilization and, more broadly, the Balkans and the eastern Mediterranean. The School also sponsors excavations and provides centers for advanced research in archaeological and related topics at its excavations in the Athenian Agora and Corinth, and it houses an archaeological laboratory at the main building complex in Athens." 
"Postdoctoral scholars and professionals in relevant fields including architecture or art who are US citizens or foreign nationals who have lived in the US for the three years immediately preceding the application deadline. Applicants must already hold their PhD or equivalent terminal degree at the time of application." "NEH Fellows will be expected to reside primarily at the American School of Classical Studies at Athens (though research may be carried out elsewhere in Greece)."</t>
  </si>
  <si>
    <t>$5,000-$23,000</t>
  </si>
  <si>
    <t>"The American-Scandinavian Foundation (ASF) is a publicly supported, nonprofit, organization that promotes international understanding through educational and cultural exchange between the U.S. and the Nordic countries." 
"Fellowships (up to $23,000) and grants (up to $5,000) to individuals to pursue research, study or creative arts projects in one or more Scandinavian country (Denmark, Finland, Iceland, Norway, Sweden) for up to one year. Awards are made in all fields."</t>
  </si>
  <si>
    <t>"One- to two-month fellowships are available for Ph.D. candidates, holders of the Ph.D., and degreed independent scholars, within any field of study that requires using the collections of the APS Library." ... "The APS Library offers short-term residential fellowships for conducting research in its collections. We are a leading international center for research in the history of American science and technology and its European roots, as well as early American history and culture."</t>
  </si>
  <si>
    <t>Visiting Faculty Fellowships</t>
  </si>
  <si>
    <t xml:space="preserve">No new DEADLINE as of 10.30.18
The Centre for Ethics at the University of Toronto, an interdisciplinary centre aimed at advancing research and teaching in the field of ethics, broadly defined, welcomes applications from faculty at other universities and research institutes, regardless of discipline or field of study, who wish to spend the academic year as a Visiting Professor to conduct research related to the Centre’s mission “to bring together the theoretical and practical knowledge of diverse scholars, students, public servants and social leaders in order to increase understanding of the ethical dimensions of individual, social, and political life.” </t>
  </si>
  <si>
    <t>4+ years postdoc</t>
  </si>
  <si>
    <t>"UConn’s Humanities Fellowships are opportunities for individuals to pursue advanced work in the humanities. Projects may contribute to scholarly knowledge or to the general public’s understanding of the humanities. Recipients are expected to produce scholarly articles, a monograph on a specialized subject, a book on a broad topic, an archaeological site report, a translation, an edition, or other scholarly tools."
Storrs, CT</t>
  </si>
  <si>
    <t xml:space="preserve">Tytus Fellowship Program </t>
  </si>
  <si>
    <t>$1,500 plus housing and transportation</t>
  </si>
  <si>
    <t>"Senior scholars are invited to apply for the Margo Tytus Visiting Scholars Program. Applicants for this program will ordinarily be a minimum of five years beyond receipt of the Ph.D., with notable publication histories. Tytus Scholars are expected to be in residence at the University of Cincinnati for a minimum of one semester (ca. four months) and a maximum of two during the regular academic year"</t>
  </si>
  <si>
    <t>"The American Philosophical Society offers fellowships to scholars working to interpret archival materials through emerging technologies." ... "Scholars, including graduate students, at any stage of their career may apply. Special consideration will be given to proposals that present APS Library holdings in new and engaging ways. Examples include (but are not limited to) projects that incorporate timelines, text analytics, network graphs, and maps."</t>
  </si>
  <si>
    <t>Humanities Research Centre Visiting Fellowships</t>
  </si>
  <si>
    <t>$3,000 AUD</t>
  </si>
  <si>
    <t>"As a core part of its mission, throughout the year the HRC welcomes several visiting fellows from around the world pursuing research projects in the Humanities. The HRC interprets the ‘Humanities’ generously. As well as supporting scholarship in traditional Humanities disciplines, its visiting fellowship programs encourage and support interdisciplinary and comparative research both within and beyond the Humanities. As members of the scholarly community at the HRC, visiting fellows make valuable contributions to its intellectual life, and to the intellectual life of the broader university community.
Each year, a theme is chosen which inspires and informs research activity within the HRC."</t>
  </si>
  <si>
    <t>Horatio Alger Fellowship for the Study of American Popular Culture</t>
  </si>
  <si>
    <t>"Funding is available to scholars who will be using materials from the Libraries’ major holdings in American popular culture. These holdings include the Albert Johannsen and Edward T. LeBlanc Collections of more than 50,000 dime novels, and the nation’s preeminent collections related to Horatio Alger, Jr., and Edward Stratemeyer. Eligible collections also include our comic book, science fiction and fantasy literature, and American Popular Literature Collections. Topics which could draw on the collections’ strengths might include the plight of urban children, image of the American West in popular literature, widespread use of pseudonyms, and stereotypical portrayals. Preference will be given to applicants who signify an interest in conducting research related to Horatio Alger, Jr."</t>
  </si>
  <si>
    <t>re:work</t>
  </si>
  <si>
    <t>monthly stipend negotiable</t>
  </si>
  <si>
    <t>"Every year the International Research Centre ‘Work and Human Lifecycle in Global History’ at Humboldt University in Berlin (re:work) invites senior scholars and postdoctoral candidates to apply for 10 to 15 international research fellowships for the duration of the following academic year. The fellowships begin on 1 October and end on 31 July (shorter fellowship terms are negotiable). The fellowships require the researchers’ presence at the centre."</t>
  </si>
  <si>
    <t xml:space="preserve">"The Society awards a number of competitive fellowships to members each year supporting individual research projects and publications that advance scholarly knowledge about the period 1300-1700. The purpose of the fellowships, both residential and non-residential, is to support members who need to travel to archives, libraries, and historic sites to conduct short-term research (usually 1–2 months), and then to publish their results for the scholarly community and the general public." 
Residential Fellowships are:
The RSA–Bodleian Library Fellowship, Oxford University, UK
The RSA–Patricia H. Labalme Fellowship, Centro Vittore Branca at Fondazione Giorgio Cini, Venice, Italy
The RSA–Centre for Reformation and Renaissance Studies (CRRS) Fellowship, Toronto, Ontario, Canada
The RSA-Folger, Folger Shakespeare Library, Washington, DC
The RSA-Newberry Fellowship, Newberry Library, Chicago, IL
The RSA-Huntington Fellowship, Huntington Library, San Marino, CA
</t>
  </si>
  <si>
    <t>$95,000
plus $7,500 for research and $3,000 for relocation</t>
  </si>
  <si>
    <t>The Burkhardt program offers two sets of opportunities for recently tenured humanists. The first set of Burkhardt Fellowships support an academic year (nine months) of residence at any one of 13 participating residential research centers, and are open to faculty at any degree-granting academic institution in the United States. An additional set of Burkhardt Fellowships are designated specifically for liberal arts college faculty, and support an academic year of residence at a wider range of locations including campus humanities centers and university academic departments to be proposed by the applicant. (Liberal arts college faculty may apply for either of the Burkhardt awards and should select the fellowship opportunity that will best serve their project.)</t>
  </si>
  <si>
    <t>&lt;$70,000/9 months</t>
  </si>
  <si>
    <t>"The Dorothy and Lewis B. Cullman Center for Scholars and Writers offers fellowships to people whose work will benefit directly from access to the research collections at the Stephen A. Schwarzman Building at Fifth Avenue and 42nd Street. Renowned for the extraordinary comprehensiveness of its collections, the Library is one of the world's preeminent resources for study in anthropology, art, geography, history, languages and literature, philosophy, politics, popular culture, psychology, religion, sociology, and sports.... The Cullman Center’s Selection Committee awards up to 15 fellowships a year to outstanding scholars and writers—academics, independent scholars, journalists, and creative writers."</t>
  </si>
  <si>
    <t>"The Society for the Humanities at Cornell University invites applications for residential fellowships from scholars whose research projects reflect on the 2019-20 theme of ENERGY. Six to eight Fellows will be appointed. The fellowships are held for one academic year. Each Society Fellow will receive $50,000. 
Fellows include scholars and practitioners from other universities and members of the Cornell faculty released from regular duties. Fellows will collaborate with the Taylor Family Director of the Society for the Humanities, Paul Fleming, Professor of Comparative Literature and German Studies. Fellows spend their time in research and writing, participate in the weekly Fellows Seminar, and offer one course related to their research. Courses should be related to the focal theme, and appropriate for graduate students and advanced undergraduates. Fellows are encouraged to explore topics they would not normally teach and, in general, to experiment freely with both the content and the method of their courses."</t>
  </si>
  <si>
    <t>External Faculty Fellowships</t>
  </si>
  <si>
    <t>&lt;$70,000
housing and moving allowance of &lt;$30,000</t>
  </si>
  <si>
    <t>"The Humanities Center offers approximately twenty-five residential fellowships for the academic year to Stanford and non-Stanford scholars at different career stages, giving them the opportunity to pursue their work in a supportive intellectual community.... External fellowships are intended primarily for individuals currently teaching in or affiliated with an academic institution, but independent scholars may apply. Faculty fellowships are awarded across the spectrum of academic ranks (assistant, associate, and full professor) and a goal of the selection process is to create a diverse community of scholars."</t>
  </si>
  <si>
    <t>"The National Humanities Center will offer up to 40 residential fellowships for advanced study in the humanities for the period September 2018 through May 2019. Applicants must have a doctorate or equivalent scholarly credentials.... In addition to scholars from all fields of the humanities, the Center accepts individuals from the natural and social sciences, the arts, the professions, and public life who are engaged in humanistic projects."</t>
  </si>
  <si>
    <t>Rome Prize</t>
  </si>
  <si>
    <t>$16,000 half-term
$28,000 full-term plus room, board, work space</t>
  </si>
  <si>
    <t>"For over a century, the AMERICAN ACADEMY IN ROME has awarded the Rome Prize to support innovative and cross-disciplinary work in the arts and humanities. Rome Prize Fellowships include a stipend, room and board, and an individual work space at AAR’s eleven-acre campus in Rome. 
Fellowships are awarded in the following disciplines:
Ancient Studies 
Architecture 
Design (includes graphic, industrial, interior, exhibition, set, costume, and fashion design, urban design, city planning, engineering, and other design fields)
Historic Preservation and Conservation
Landscape Architecture (includes environmental design and planning, landscape/ecological urbanism, landscape history, sustainability and ecological studies, and geography)
Literature (includes fiction, literary nonfiction, and poetry)
Medieval Studies
Modern Italian Studies
Musical Composition 
Renaissance and Early Modern Studies
Visual Arts (includes painting, sculpture, drawing, photography, film/video, installation, new media, digital arts, and other visual arts fields)"</t>
  </si>
  <si>
    <t>"offers five Solmsen Fellowships each year to scholars outside UW-Madison working in the humanities on European history and culture in the classical, medieval, and/or early modern periods before 1700. Projects on the relationship of pre-1700 Europe to other parts of the world are also welcome. 
Fellows are expected to be in residence throughout the academic year (except for short research trips, lectures, conferences, etc.) and may extend their residency through the following summer on a non-stipendary basis."</t>
  </si>
  <si>
    <t>$3,500-4-000</t>
  </si>
  <si>
    <t>"The Ransom Center['s]... extensive collections provide unique insight into the creative process of writers and artists, deepening our understanding and appreciation of literature, photography, film, art, and the performing arts." 
"For its 2019–2020 fellowship program, the Ransom Center will award 10 dissertation fellowships and up to 50 postdoctoral fellowships for projects that require substantial on-site use of its collections. The collections support research in all areas of the humanities, including literature, photography, film, art, the performing arts, music, and cultural history."</t>
  </si>
  <si>
    <t>&lt;5 years</t>
  </si>
  <si>
    <t>$47,000/year for two years</t>
  </si>
  <si>
    <t>"The Mellon Fellow’s primary responsibility will be to conduct research for exhibitions exploring the intersections of history, art, and science. The Fellow will be fully integrated into the APS Museum staff, working closely with others on the curatorial team. They will select objects for exhibitions and develop thematic narratives. The Fellow will gain extensive experience in planning and implementing exhibitions as well as researching and writing interpretive materials for non-scholarly audiences (exhibition labels and text panels, website text, etc.). Depending on the Fellow’s interests and the Museum’s needs, they may also participate in public programming, museum education, collections management, and website development. Twenty percent of the Fellow’s time will be reserved for their own independent research, ideally using resources at the APS or kindred regional institutions."</t>
  </si>
  <si>
    <t>Scholars-in-Residence</t>
  </si>
  <si>
    <t>$2,500/month
$35,000/6 months</t>
  </si>
  <si>
    <t>"The Schomburg Center Scholars-in-Residence Program offers long-term and short-term fellowships to support scholars and writers working on projects that would benefit from access to the Center's extensive resources for the study of African diasporic history, politics, literature, and culture.
The Schomburg Center is a world-renowned repository of sources on every facet of the African diasporic experience, with extensive holdings including numerous unique manuscript and archival collections as well as a comprehensive range of publications, photographs, films, audio recordings, and visual art."</t>
  </si>
  <si>
    <t>Short-Term Fellowship</t>
  </si>
  <si>
    <t>$2,500/one month</t>
  </si>
  <si>
    <t>"Short-Term Fellowships provide opportunities for individuals who have a specific need for the Newberry’s collection. Postdoctoral scholars, PhD candidates, and scholars with terminal degrees who live and work outside of the Chicago metropolitan area are eligible."</t>
  </si>
  <si>
    <t>Visiting Scholars Program</t>
  </si>
  <si>
    <t>travel, board, living allowance for one to four months</t>
  </si>
  <si>
    <t>"Visiting Scholar Awards provide academic, museum, and independent scholars, as well as doctoral students, working in any field related to British art an opportunity to study the Center’s collection."</t>
  </si>
  <si>
    <t>Short-Term Research Fellowship</t>
  </si>
  <si>
    <t>$1,750/month</t>
  </si>
  <si>
    <t>"Founded by Henry Francis du Pont, Winterthur (pronounced “winter-tour”) is the premier museum of American decorative arts, reflecting both early America and the du Pont family’s life here. Its 60-acre naturalistic garden is among the country’s best, and its research library serves scholars from around the world." ... "Academic, museum, and independent scholars, including graduate students receive one- to three-month short term fellowships."</t>
  </si>
  <si>
    <t>Program on hold</t>
  </si>
  <si>
    <t>Program on hold
"The Visiting Faculty Fellows program is intended to extend the practice of humanities research and education philosophically grounded at the undergraduate level into liberal arts colleges and Historically Black Colleges and Universities. Duke, as a research hub, can offer its research opportunities to faculty from these institutions and by extension have its impact on their undergraduates even as we can learn from the knowledge and world-views generated at these other institutions. This element of the HWL grant realizes the Mellon Foundation’s desire to reframe humanities as an engine for new knowledge production and to multiply the benefits of the Humanities Writ Large initiative at Duke."</t>
  </si>
  <si>
    <t>Bogiliasco Fellowships</t>
  </si>
  <si>
    <t>room, board, studio space for a month</t>
  </si>
  <si>
    <t>In Bogliasco, Italy
“Bogliasco Fellowships are awarded to gifted individuals working in all the disciplines of the Arts and Humanities without regard to nationality, age, race, religion or gender.
To be eligible for the award of a Fellowship, applicants should demonstrate significant achievement in their disciplines, commensurate with their age and experience.... The Foundation gives preference to those whose applications suggest that they would be comfortable working in an intimate, international, multilingual community of scholars and artists.”</t>
  </si>
  <si>
    <t>$5,555.55/month for 6-9 months up to $50,000</t>
  </si>
  <si>
    <t>"In addition to being the world's largest Shakespeare collection, the Folger is home to major collections of other rare Renaissance books, manuscripts, and works of art. Located a block from the US Capitol, the Folger serves a wide audience of scholars, visitors, teachers, students, families, and theater- and concert-goers." ... "We welcome applications from archivists, creative artists, curators, librarians, performers, and playwrights whose research will benefit from focused engagement with the Folger collections."</t>
  </si>
  <si>
    <t>A&amp;H
Creative Arts
Library</t>
  </si>
  <si>
    <t>$2,500/month for 1-3 months</t>
  </si>
  <si>
    <t>A&amp;H
Dance</t>
  </si>
  <si>
    <t>"In honor of the centenary of Jerome Robbins in 2018, the focus of this fellowship cycle will be the Jerome Robbins papers (S) *MGZMD 130 and the Jerome Robbins personal papers (S) *MGZMD 182, as well as the many resources related to Robbins within the Library, such as the video and audio materials he donated. We are particularly interested in proposals that will uncover new aspects of Jerome Robbins’ legacy including, but not limited to, his photography, artwork and writing, as well as his overall contribution to dance."</t>
  </si>
  <si>
    <t>Research Fellowship and Award</t>
  </si>
  <si>
    <t>General
Gender studies</t>
  </si>
  <si>
    <t>"To promote the interpretation of Virginia history and access to its collections, the Virginia Historical Society, funded by a matching grant from the Andrew W. Mellon Foundation and gifts from individuals, offers fellowships of up to three weeks a year....
There are three general categories of fellowships:
Andrew W. Mellon Research Fellowships cover the broad sweep of Virginia and American history, for example, supporting research on political, constitutional, religious, African American, military, and social issues.
The Betty Sams Christian Fellowships in business history cover studies in economic history, trade, industrial and commercial subjects, and labor relations.
The Frances Lewis Fellowships in Gender and Women's Studies support work in gender roles and the history of women."</t>
  </si>
  <si>
    <t>"The Institute for Research in the Humanities will offer two Robert M. Kingdon Fellowships for 2019-2020 to be awarded to scholars from outside the University of Wisconsin-Madison. Through a generous bequest from Robert M. Kingdon, the Kingdon Fellowship sponsors scholars working in the humanities in the historical, literary, artistic, and/or philosophical studies of Christian and/or Jewish religious traditions and their role in society. Projects may focus on any period from antiquity to the present, on any part of the world, and in any field(s) in the humanities. They may explore various forms of the Jewish and/or Christian traditions; the interaction of one or both of these with other religious traditions; and/or the relationship of one or both of these religions to other aspects of society within or outside of Europe.
Kingdon Fellows are expected to be in residence at the Institute throughout the academic year (except for short research trips, lectures, conferences, etc.) and may extend this residency through the following summer on a non-stipendary basis."</t>
  </si>
  <si>
    <t>"The Kierkegaard Library offers unpaid research fellowships to serious scholars for two to eight weeks in duration during the months of June and July. Acceptance includes extensive access to the Kierkegaard Library and the opportunity to use the other libraries and facilities of St. Olaf College. Free housing on campus is provided; all other costs are the responsibility of the scholar. Participants of the program include students at graduate level and seasoned scholars. Advanced undergraduates are encouraged to apply to the Young Scholars Program.
The program entitles scholars to use the resources of the Kierkegaard Library while attending required activities that include: attend guest lectures, peer presentations, and participate in scholar seminars twice a week. The atmosphere encourages sharing of academic thoughts and opinions in relation to Kierkegaard’s writing and ideals."</t>
  </si>
  <si>
    <t>$4,200 a month</t>
  </si>
  <si>
    <t>"Long-Term Fellowships are intended to support individual scholarly research and promote serious intellectual exchange through active participation in the Newberry’s scholarly activities, including Fellows’ Seminars and Weekly Colloquium"</t>
  </si>
  <si>
    <t>monthly stipend, housing, work space</t>
  </si>
  <si>
    <t>DEADLINE for VISUAL ARTISTS is 2/1, WRITERS is 12/1
"The Fine Arts Work Center offers a unique residency for writers and visual artists in the crucial early stages of their careers. Located in Provincetown, Massachusetts, an area with a long history as an arts colony, the Work Center provides seven-month Fellowships to twenty Fellows each year in the form of living/work space and a modest monthly stipend. Residencies run from October 1 through April 30. Fellows have the opportunity to pursue their work independently in a diverse and supportive community of peers."</t>
  </si>
  <si>
    <t>$500/one month plus room and work space</t>
  </si>
  <si>
    <t>"provide an annual opportunity to an emerging visual artist 25 years and older who needs time and space to explore ideas and start new projects.  Artist Fellows will receive a one-month residency at the Santa Fe Art Institute, which includes a private room and bath, a private studio space, and a $500 travel stipend. Founded in 1985, the Santa Fe Art Institute (SFAI) provides a unique opportunity for emerging artists to pursue creative projects without interruption. SFAI supports over 50 residents per year and offers a cohesive, arts-focused environment that creates the ideal working conditions for resident artists. Living and studio space is located within a nearly 17,000 square foot complex designed by renowned Mexican architect, Ricardo Legoretta. The unique SFAI environment allows residents to be as interactive or private as they wish. There are no requirements on the work produced during their time at SFAI."</t>
  </si>
  <si>
    <t>OTHER DEADLINE June 15, October 1, February 15.
Non-fellowship applications accepted on a rolling basis.
"the largest international artists' and writers' residency program in the United States. Our mission is to provide studio residencies in an inclusive, international community, honoring creative work as the communication of spirit through form."
"We offer over 120 fellowships per year to artists and writers of outstanding talent. A fellowship covers the full cost of a VSC residency (some awards also include an additional stipend for travel/lost income/etc). 
At each of our three annual deadlines (February 15th, June 15th, and October 1st), our fellowship offerings change. In addition to some donor-driven awards with special eligibility requirements, there are always a number of general, merit-based VSC fellowships for which all applicants are considered."</t>
  </si>
  <si>
    <t>"overseen by Houghton Library, the Poetry Room features a circulating collection of 20th and 21st century English-language poetry, an encyclopedic array of poetry serials, the Blue Star collection of rare books, broadsides, chapbooks, and typescripts, and a landmark collection of audio recordings (1933 to the present)....
The WPR Creative Fellowship invites poets, writers, multimedia artists, and scholars of contemporary poetry to propose creative projects that would benefit from the resources available in the room and to generate new work that further actualizes the Poetry Room's collectionsâ€”particularly the audio-video archive.  In addition to conducting research and pursuing projects, the WPR fellow will be asked to present a works-in-progress event in conjunction with the Poetry Room’s public programming season and/or to contribute a work or drafts (produced during the fellowship) to the WPR archive. The recipient is expected to work on-site at the Woodberry Poetry Room for at least 10 days during the Harvard academic year."</t>
  </si>
  <si>
    <t>"MacDowell encourages applications from artists representing the widest possible range of perspectives and demographics. Emerging and established artists may apply in the following disciplines: architecture, film/video arts, interdisciplinary arts, literature, music composition, theatre, and visual arts."</t>
  </si>
  <si>
    <t>"Founded by Henry Francis du Pont, Winterthur (pronounced “winter-tour”) is the premier museum of American decorative arts, reflecting both early America and the du Pont family’s life here. Its 60-acre naturalistic garden is among the country’s best, and its research library serves scholars from around the world." ... "These 1-3 month fellowships are designed for artists, writers, filmmakers, horticulturalists, craftspeople, and others who wish to examine, study, and immerse themselves in Winterthur’s vast collections in order to inspire creative and artistic works for general, non-academic audiences. The aim of this initiative is to open our collections to a wider audience who can interpret the past and our collections in unique and imaginative ways outside of traditional academic avenues."</t>
  </si>
  <si>
    <t>A&amp;H
Creative Arts
Architecture</t>
  </si>
  <si>
    <t>early career
mid career</t>
  </si>
  <si>
    <t>room &amp; board</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</si>
  <si>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The Art Omi:  Architecture "residency is first of its kind in the nation, inviting 10 early- to mid-career architects from around the world to develop their work during a full two-week residency on Omi's campus. Art Omi: Architecture aims to nurture experimentation at the intersection of architecture, art and landscape."</t>
  </si>
  <si>
    <t>A&amp;H
Creative Arts
Dance</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</si>
  <si>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Dance brings together ten accomplished dance artists from around the world for three weeks of creative exchange each summer. Residents experience each other’s creative process and the freedom to play in this collaborative residency program."</t>
  </si>
  <si>
    <t>A&amp;H
A&amp;H
Creative Arts</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</si>
  <si>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Music invites twelve to fifteen musicians and composers from around the globe to come together for two and a half weeks each summer for a uniquely collaborative music making residency."</t>
  </si>
  <si>
    <t>A&amp;H
Creative Arts
Visual Art</t>
  </si>
  <si>
    <t>professionally active at least 3 years</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</si>
  <si>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Artists invites 30 artists from around the world, representing a wide diversity of artistic styles and practices, to gather in rural New York for four weeks each summer to experiment, collaborate and share ideas. Concentrated time for creative work is balanced with the stimulation of cultural exchange and critical appraisal."</t>
  </si>
  <si>
    <t>A&amp;H
Creative Arts
Writing</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</si>
  <si>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Writers, formerly known as Ledig House, hosts authors and translators from around the world for residencies throughout the spring and fall. The program’s strong international emphasis provides exposure for global literary voices and reflects the spirit of cultural exchange that is essential to Art Omi’s mission."</t>
  </si>
  <si>
    <t>housing, meals, work space</t>
  </si>
  <si>
    <t>"Hedgebrook is on Whidbey Island, about thirty-five miles northwest of Seattle. Situated on 48-acres of forest and meadow facing Puget Sound, with a view of Mount Rainier, the retreat hosts writers from all over the world for residencies of two to six weeks, at no cost to the writer.
Six writers are in residence at a time, each housed in a handcrafted cottage. They spend their days in solitude – writing, reading, taking walks in the woods on the property or on nearby Double Bluff beach. In the evenings, they gather in the farmhouse kitchen to share a home-cooked gourmet meal, their work, their process and their stories. The Writers in Residence Program is Hedgebrook’s core program, supporting the fully-funded residencies of approximately 40 writers at the retreat each year."</t>
  </si>
  <si>
    <t>Fellowship Programme</t>
  </si>
  <si>
    <t>1000 EUR</t>
  </si>
  <si>
    <t>"THE FELLOWSHIPS ARE AWARDED IN PARTICULAR FOR
research motivated by the desire to promote understanding among nations through education. This research is aimed at identifying prejudices, distortions in perception, and stereotyped and adversarial images transmitted in education, as well as their origins, by means of analysing educational material, international educational and didactical research on the methods, content and objectives of teaching in the subject areas in which the Institute's library specialises; research in the field of the fundamental governmental, institutional and social frameworks in which this teaching takes place, academic research on issues of perception and reception in the fields of history, geography and social science studies on textbook development in the subjects represented at the Institute which aim at identifying new directions for the production of textbooks based on comparative international textbook research."</t>
  </si>
  <si>
    <t>Scholar in Residence Fellowship</t>
  </si>
  <si>
    <t>General
Gender Studies</t>
  </si>
  <si>
    <t>OTHER DEADLINE: 7/1/18 
"The Scholars-in-Residence Program is designed to (1) encourage research and writing on the history, literature and culture of the of the LGBTQ community or other dynamic projects relating to the LGBTQ experience, broadly conceived; (2) to promote and facilitate interaction among the participants including fellows funded by other sources; (3) to facilitate the dissemination of the researcher’s findings through lectures via CLAGS’s ongoing Events Series. Applicants must indicate in their proposal how these resources will specifically benefit their project."
"The CLAGS Scholar-in-Residence will be allowed to spend up to six months in residence.  Beyond a CLAGS affiliation, Fellows will receive office space, access to libraries and electronic databases, as well as opportunities to meet and work with leading LGBTQ scholars in New York City."</t>
  </si>
  <si>
    <t>10,000 plus travel</t>
  </si>
  <si>
    <t>"The Einstein Forum and the Daimler and Benz Foundation are offering a fellowship for outstanding young thinkers who wish to pursue a project in a different field from that of their previous research. The purpose of the fellowship is to support those who, in addition to producing superb work in their area of specialization, are also open to other, interdisciplinary approaches – following the example set by Albert Einstein.
The fellowship includes living accommodations for five to six months in the garden cottage of Einstein`s own summerhouse in Caputh, Brandenburg, only a short distance away from the universities and academic institutions of Potsdam and Berlin."</t>
  </si>
  <si>
    <t>Bellagio Academic Writing Residency</t>
  </si>
  <si>
    <t>"The Rockefeller Foundation Bellagio Center Residency Program offers academics, artists, thought leaders, policymakers, and practitioners a serene setting conducive to focused, goal-oriented work, and the unparalleled opportunity to establish new connections with fellow residents from a wide array of backgrounds, disciplines, and geographies."</t>
  </si>
  <si>
    <t>"The Martin Duberman Visiting Scholar program at The New York Public Library fosters excellence in LGBT studies by providing funds for scholars to do research in the Library’s preeminent LGBT historical collections. The fellowship is open to both academic faculty and independent scholars who have made a significant contribution to the field.... The awardee will be expected to spend a minimum of three months researching at the Library and at other archives relevant to their topic in the New York City area, to give a public talk on their work, and to write a short piece about their project for the Library’s website."</t>
  </si>
  <si>
    <t>&lt;7 years postdoc</t>
  </si>
  <si>
    <t>$4,200/month for 4-11 months</t>
  </si>
  <si>
    <t>"The John W. Kluge Center at the Library of Congress invites qualified scholars to conduct research at the Kluge Center using the Library of Congress collections and resources for a period of four to eleven months....
The Kluge Center especially encourages humanistic and social science research that makes use of the Library's large and varied collections. Interdisciplinary, cross-cultural, or multi-lingual research is particularly welcome. Among the collections available to researchers are the world's largest law library and outstanding multi-lingual collections of books and periodicals. Deep special collections of manuscripts, maps, music, films, recorded sound, prints and photographs are also available."</t>
  </si>
  <si>
    <t>6/15/18 OTHER DEADLINE
"The Logan Nonfiction Program seeks to address the public’s need for longform nonfiction to inform the policy debate essential to democracy.... 
Logan Nonfiction fellows at the Carey Institute are provided all the necessary tools to complete their critical work. Lodging, work space, sophisticated technological support (including Wi-Fi, a state-of-the-art screening room and dedicated space, equipment and software for video, film and radio editing) and meals are provided. Fellows may also benefit from the mentorship of several board members and internationally renowned journalists.
We also help selected print fellows convert their work into audio, video or digital media through the expertise of our partners. The Institute is eager to convene issue-oriented conferences related  to our fellows’ projects to bring their reporting to policy-makers and other experts."</t>
  </si>
  <si>
    <t>Salary replacement</t>
  </si>
  <si>
    <t>"Through an international competition, the Center offers 9-month residential fellowships. The Wilson Center invites scholars, practitioners, journalists and public intellectuals to take part in its flagship international Fellowship Program. Fellows conduct research and write in their areas of interest, while interacting with policymakers in Washington and Wilson Center staff and other scholars in residence.  The Center accepts policy-relevant, non-advocacy fellowship proposals that address key challenges confronting the United States and the world."</t>
  </si>
  <si>
    <t>Berlin Prize</t>
  </si>
  <si>
    <t>$5,000 plus travel, room, and partial board</t>
  </si>
  <si>
    <t>Research Support Fellowship</t>
  </si>
  <si>
    <t>&lt;$60,000 plus $1,000 research costs</t>
  </si>
  <si>
    <t>"for scholars, artists, and scientists pursuing outstanding research in all disciplines — including the arts, engineering, humanities, law, and formal, natural, and social sciences — with projects that are creative, innovative, or align with the intellectual orientation of the NDIAS. Projects that integrate questions of value, meaning, or purpose in the analyses are encouraged. The Institute seeks applicants with excellent records of accomplishment pursuing fellowships for periods ranging from three weeks to a full academic year."</t>
  </si>
  <si>
    <t>$250/week plus travel</t>
  </si>
  <si>
    <t>The Camargo Core Program is the historical and flagship program of the Foundation. Each year an international call is launched through which 18 fellows (9 artists and 9 scholars/thinkers) are selected. The Camargo Core Program offers time and space in a contemplative environment to think, create, and connect. By supporting groundbreaking research and experimentation, it contributes to the visionary work of artists, scholars and thinkers in the Arts and Humanities. By encouraging multidisciplinary and interdisciplinary approaches, it intends to foster connections between research and creation.</t>
  </si>
  <si>
    <t>&lt;5 years postdoc</t>
  </si>
  <si>
    <t>€2,000/month plus family allowance</t>
  </si>
  <si>
    <t>"The Max Weber Programme is the largest international postdoctoral programme in the Social Sciences and Humanities in Europe. It offers around 50-55 fully funded Fellowships to suitably qualified researchers from anywhere in the world who work in or across the relevant disciplines of the EUI (Economics, History, Law and Social and Political Sciences and their subfields). The working language of the Programme is English.
The aim of the MWP is to provide Fellows with the experience of membership of a vibrant academic community, to which they make a central contribution. It is unique in offering a structured Programme covering all aspects of an academic career, including support for academic writing in English, applying for research grants,  the opportunity to teach in some of Europe’s leading universities and to develop a strategy for a successful approach to the academic labour market."</t>
  </si>
  <si>
    <t xml:space="preserve">"The Columbia Institute for Ideas and Imagination, based at Reid Hall in Paris, offers approximately seven full fellowships annually to Columbia faculty. The Institute encourages applications in all disciplines and on any topic from candidates interested in participating in a creative community of scholars, artists, and thinkers. The fellows will each receive $37,500 per term, or $75,000 for a full academic year (September through May), an office at the Institute in Paris, and access to Columbia’s libraries and various research facilities in Paris and in Europe. We welcome projects from those working in any area of the humanities, the humanistic social sciences, and conceptual dimensions of the natural and applied sciences, as well as from visual artists, filmmakers, writers, and other creative thinkers. In order to be eligible to apply, Columbia faculty should indicate their school and departmental affiliation. We welcome group projects although each participant in the group must apply individually and will be considered on his or her own merits.”  </t>
  </si>
  <si>
    <t>$54,400/year + $4,000 research costs</t>
  </si>
  <si>
    <t>"The purpose of the Mpala Postdoctoral Fellowship is to promote the study of biology, anthropology, geology, hydrology, material science, social science, soil science or related areas. Projects must be tenable in residence at Smithsonian Institution facilities and Mpala Research Centre.... Fellowships are offered by the Smithsonian Institution to provide opportunities for graduate students, predoctoral students, and postdoctoral and senior investigators to conduct research in association with members of the Smithsonian professional research staff, and to utilize the resources of the Institution."</t>
  </si>
  <si>
    <t>Half of salary or up to $90,000 for non-academics</t>
  </si>
  <si>
    <t>OTHER DEADLINES depend on hosting institution.
"Established in 2015 and now in its third year of growth, the Berggruen Fellowship Program is a cornerstone of the Institute’s mission to nurture ideas that shape the future. Our partner universities now include: Harvard, Stanford, Oxford, New York University, the University of Southern California, and Peking and Tsinghua Universities."
"The Berggruen Institute provides Residential and Research Fellowships. Residential Fellowships are available in all program areas of the Institute as year-long stipends for mid-career to senior Fellows of outstanding quality. They offer the opportunity for a year of highly focused research and writing on the programmatic questions addressed by the Berggruen Institute’s great transformations. Research Fellowships are available through the Transformations of the Human program as a three-year Fellowship designed for early career scholars who have recently finished their PhD. Typically five to seven Fellows are admitted annually to work in AI and Biotech labs with the aim of building up philosophical and artistic conversations within the lab context."</t>
  </si>
  <si>
    <t>DEADLINE: first Monday in November each year
"Resident scholar fellowships are awarded annually by the School for Advanced Research (SAR) to up to six scholars who have completed their research and who need time to prepare manuscripts or dissertations on topics important to the understanding of humankind. Resident scholars may approach their research from the perspective of anthropology or from related fields such as history and sociology. Scholars from the humanities and social sciences are encouraged to apply."</t>
  </si>
  <si>
    <t>Laurance S. Rockefeller Visiting Faculty Fellowships</t>
  </si>
  <si>
    <t>&lt;50% salary</t>
  </si>
  <si>
    <t>"Fellows devote an academic year in residence at Princeton to research and writing about topics involving human values in public and private life. The program is open to scholars in all disciplines provided their research plans qualify. In recent years fellows have been drawn from fields including philosophy, political theory, literature, history, classics, economics and law, but this list is not meant to be exhaustive."</t>
  </si>
  <si>
    <t>"The institution awards approximately 200 fellowships to scholars in the fields of history, literature, art, and the history of science. These scholarly pursuits lead to best-selling books, Pulitzer Prizes, acclaimed documentary films, and many of the history and social studies textbooks that educate the nation’s school children. The Huntington's independent research library has significant holdings in British and American history; British and American literature; art history, the history of science and medicine; and the history of the book.... The Art Collections contain several notable British and American paintings; innumerable fine prints and photographs; and an art reference library. In the library of the Botanical Gardens is a broad collection of reference works in botany, horticulture, and gardening."</t>
  </si>
  <si>
    <t>New York State Archives Larry J. Hackman Research Residency Program</t>
  </si>
  <si>
    <t>"The New York State Archives announces the availability of awards for qualified applicants to conduct research using historical records in the Archives. The Larry J. Hackman Research Residency Program is intended to support advanced work on New York State history, government, or public policy by defraying travel-related research expenses. It encourages public dissemination of research products."</t>
  </si>
  <si>
    <t>SUSPENDED FOR 2019-2020. DEADLINE FOR 2020-2021 IS JANUARY 13, 2020.
Houghton Library is the principal rare book and manuscript library of Harvard College, which documents the history of Western civilization. "The collections of Houghton Library touch upon almost every aspect of the human record, particularly the history and culture of Europe and North America, and include special concentrations in the history of printing and of theater. Materials held here range from medieval manuscripts and early printed books to the working papers of living writers. Fellows will also have access to collections in Widener Library as well as to other libraries at the University. Preference is given to scholars whose research is closely based on materials in Houghton collections, especially when those materials are unique; and we particularly welcome proposals for research projects drawing on our holdings related to Africa, the Americas, Asia, and Oceania, and to histories of marginalized people; fellowships are normally not granted to scholars who live within commuting distance of the library. Each fellow is expected to be in residence at Houghton for at least four weeks ... (these do not have to be consecutive weeks), and each fellow will be expected to produce a written summary of his/her experience working with the collections."</t>
  </si>
  <si>
    <t>&lt;12 years postdoc</t>
  </si>
  <si>
    <t>"Submit an application if you are a researcher from abroad with above average qualifications, completed your doctorate less than twelve years ago, already have your own research profile and are working at least at the level of Assistant Professor or Junior Research Group Leader or have a record of several years of independent academic work. A Humboldt Research Fellowship for experienced researchers allows you to carry out long-term research (6-18 months) in Germany. Applicants choose their own topic of research and their academic host. The fellowship is flexible and can be divided up into as many as three stays within three years.
Scientists and scholars of all nationalities and disciplines may apply to the Alexander von Humboldt Foundation online at any time."</t>
  </si>
  <si>
    <t>Jennings Randolph Senior Fellowship</t>
  </si>
  <si>
    <t>&lt;$10,000/month for 6 months minumum</t>
  </si>
  <si>
    <t>"USIP Fellowship programs support cutting-edge research, writing, analysis and convening by emerging and leading international experts from many disciplinary and professional backgrounds. The Fellowship programs provide USIP resources to add to its in-house expertise and inform its programmatic work, while contributing to USIP’s role as a bridge between academics, reflective practitioners and policy-makers."</t>
  </si>
  <si>
    <t>Fellowship Programs</t>
  </si>
  <si>
    <t>General
gender studies</t>
  </si>
  <si>
    <t>OTHER DEADLINE for natural sciences and math is October 4, 2018
"As a fellow, you will focus on your individual project while benefiting from a dynamic, multidisciplinary community at Harvard University. Fellows—women and men—are at the forefront of the arts, journalism, humanities, sciences, and social sciences." ... "Applications in all academic disciplines, professions, and creative arts are encouraged, and there are a few areas of special interest: 
Applications related to the broad theme of the human body, which is a one-year initiative across the programs of the Radcliffe Institute 
Applications that involve the study of women, gender, and society, which is a commitment rooted in Radcliffe’s unique history 
Applications that draw on the resources of the Schlesinger Library on the History of Women in America, which is part of the Radcliffe Institute and one of the foremost archives on women’s history 
Applications for the Mellon-Schlesinger Fellowship, part of the broader Long 19th Amendment Project funded by the Andrew W. Mellon Foundation"</t>
  </si>
  <si>
    <t>General
Race studies
Gender studies</t>
  </si>
  <si>
    <t>"We welcome applications from scholars in the humanities. We are interested in research projects across the spectrum of the humanities that examine the origins, evolution, impact and legacy of race, difference, and the modern quest for civil and human rights. We also support research projects that examine race and ethnicity and its points of intersection with other identities and movements addressing differences along gender, class, religious, or sexual lines."</t>
  </si>
  <si>
    <t>Language &amp; Area Studies</t>
  </si>
  <si>
    <t>€1040 plus book allowance</t>
  </si>
  <si>
    <t>"The Franz Werfel Scholarship therefore addresses young university teachers who are primarily concerned with Austrian literature. The scholarship program initiated in 1992 is open to applicants from all over the world. A Werfel grant holder can work as a visiting researcher in a university department or carry out specialist studies in a library, archive or other research institution. It is not just a scholarship in terms of material support for up to 18 months, but by the inclusion of a range of follow-up measures, ensures longer term sustainability. Follow-up measures include:
Annual invitation to a relevant professional symposium
One-month research grant every three years
Postdoctoral fellowship
Habilitation grant
Publication grant"</t>
  </si>
  <si>
    <t>&lt;10 years postdoc 
early career</t>
  </si>
  <si>
    <t>"This fellowship supports advanced research in the humanities for U.S. postdoctoral scholars, and foreign national postdoctoral scholars who have been residents in the US for three or more years.
Scholars must carry out research in a country which hosts a participating American overseas research center. Eligible countries for 2017-2018 are: Algeria, Armenia, Azerbaijan, Cambodia, Cyprus, Georgia, Indonesia, Mexico, Mongolia, Morocco, Nepal, Senegal, Sri Lanka or Tunisia. Fellowship stipends are $4,200 per month for a maximum of four months. This program is funded by the National Endowment for the Humanities (NEH) under the Fellowship Programs at Independent Research Institutions (FPIRI)."</t>
  </si>
  <si>
    <t>Texas Collection Wardlaw Fellowship</t>
  </si>
  <si>
    <t>$1,000-1,500</t>
  </si>
  <si>
    <t>"Fellowships are awarded to scholars pursuing significant research and advanced studies in the area of Texas history, culture, and literature. The research must be completed at The Texas Collection" in Waco, TX. The Hillman Research Fellowship also stipulates research of “Baptist missions and educational institutions in Latin America utilizing collections deposited in The Texas Collection.”</t>
  </si>
  <si>
    <t>Language and Area Studies
Africa</t>
  </si>
  <si>
    <t>6 months of support</t>
  </si>
  <si>
    <t>No new DEADLINE as of 10.29.18
The aim of the fellowships is to enable visiting academics to spend six months calendar months between October and March focusing on their research and writing, whilst based at the Centre of African Studies in Cambridge.</t>
  </si>
  <si>
    <t>Hutchins Center for African and African American Research Harvard University</t>
  </si>
  <si>
    <t>Language and Area Studies
Africa &amp; African American</t>
  </si>
  <si>
    <t>one or two semesters</t>
  </si>
  <si>
    <t>"The Fellows Program is at the heart of the activities of the W. E. B. Du Bois Research Institute. Started in 1975 as the W. E. B. Du Bois Institute for African and African American Research, the Institute has annually appointed scholars who conduct individual research for a period of one to two semesters in a wide variety of fields related to African and African American Studies."</t>
  </si>
  <si>
    <t>Language and Area Studies
Asia</t>
  </si>
  <si>
    <t>€2,000/month</t>
  </si>
  <si>
    <t>OTHER DEADLINE October 1
"IIAS is an institute that actively promotes innovative research and seeks the interconnection between academic disciplines. In doing so, we are particularly looking for researchers focusing on the three IIAS clusters 'Asian Cities', 'Asian Heritages' and 'Global Asia'. However some positions will be reserved for outstanding projects in any area outside of those listed. Applications that link to more than one field are also welcome."</t>
  </si>
  <si>
    <t>HURI/Ukrainian Studies Research Fellowships</t>
  </si>
  <si>
    <t>Language and Area Studies
Eastern Europe &amp; former Soviet Union</t>
  </si>
  <si>
    <t>8-10 years postdoc especially encouraged to apply</t>
  </si>
  <si>
    <t>$4,400/month plus travel</t>
  </si>
  <si>
    <t xml:space="preserve">The Institute's Research Fellowships “bring scholars from the international academic community to Harvard for focused research on projects in Ukrainian history, literature, philology, culture, and other related areas of study in the humanities and social sciences fields. In addition to carrying out their own research in residence, fellows participate in the scholarly life of the University during Harvard's academic year, and offer a formal presentation based on original research.”  </t>
  </si>
  <si>
    <t>$5,000/month plus travel</t>
  </si>
  <si>
    <t>“is designed to bring senior scholars to Harvard University for a period of five months for focused research in Ukrainian history, literature, philology, culture, and other related areas of study in the humanities and social sciences fields. While in residence, the Jacyk Distinguished Fellow will use the University's unique resources to work on significant and innovative projects in Ukrainian studies, and in general to further his or her professional development. In addition, the Jacyk Distinguished Fellow will preside over the Petro Jacyk Seminar in Ukrainian Studies: a forum presented as part of the HURI Seminar Series in Ukrainian Studies.”</t>
  </si>
  <si>
    <t>Language and Area Studies
Europe</t>
  </si>
  <si>
    <t>£2,000</t>
  </si>
  <si>
    <t>"The Society will to consider providing up to £2,000 per year to support a visit by a foreign scholar actively working on French history to UK or Irish HE institutions. The objective is to foster international contact between scholars of the subject and the UK’s role within it. 
The scheme is open to bona fide scholars actively working at, or with a clearly defined relationship to, a recognised institute of higher education outside the UK.
The proposed host institution in the UK or the Irish Republic must demonstrate that it is committed to underwriting the essential costs of the visit in terms of the provision of office accommodation, academic support and, where appropriate, contributions to the costs of lodging and transport. 
Applicants themselves must show that they have a clear programme of research which will involve collaboration with scholars in the UK."</t>
  </si>
  <si>
    <t>$1,750/month, plus room, travel, and research allowance</t>
  </si>
  <si>
    <t>"Junior and senior scholars from around the world with PhDs and publications in internationally recognized scholarly outlets are eligible for three- to ten-month fellowships at IAS CEU.
Fellowships are available for all scholarly work related to the historical, political or economic, and cultural relationship between the United States and present-day Austria or the countries that historically make up the Austro-Hungarian or Austrian Empires."</t>
  </si>
  <si>
    <t>None</t>
  </si>
  <si>
    <t>"Every year, the Minda de Gunzburg Center for European Studies hosts a number of Visiting Scholars from the United States, Europe and other parts of the globe. Visiting Scholars are chosen from a pool of applications from post-doctoral social scientists and historians who are working on modern Europe. They continue their research on the Harvard campus while engaging with CES faculty, graduate and undergraduate students and participating in study groups, seminars, and conferences."</t>
  </si>
  <si>
    <t>The Berlin Program for Advanced German and European Studies offers up to one year of research support at the Freie Universität Berlin and is open to scholars in all social science and humanities disciplines, including historians working on the period since the mid-18th century.</t>
  </si>
  <si>
    <t>$25,000 for one or two semesters plus up to $3,000 in travel expenses</t>
  </si>
  <si>
    <t>Each year the David Rockefeller Center for Latin American Studies (DRCLAS) selects a number of distinguished academics (Visiting Scholars) and professionals (Fellows) who wish spend one or two semesters at Harvard working on their own research and writing projects. Visiting Scholars and Fellows are selected competitively on the basis of the applicant's qualifications, the quality of the applicant's research plans, and the relevance of both to the Center's mission and objectives..</t>
  </si>
  <si>
    <t>Association of Performing Arts Presenters</t>
  </si>
  <si>
    <t>Language and Area Studies
Middle East</t>
  </si>
  <si>
    <t>$5,000/month</t>
  </si>
  <si>
    <t>No new DEADLINE as of 10.30.18
"Harvard Law School's Islamic Legal Studies Program: Law and Social Change invites applications for Visiting Fellowships for the 2018-2019 academic year. This fellowship provides opportunities for outstanding scholars and legal practitioners to undertake research, writing, and scholarly engagement on Islamic law that furthers the Program's mission. We are particularly interested in applicants whose work focuses on human rights, women’s rights, children’s rights, minority rights, animal welfare and rights, constitutional law, food law, environmental law and climate change in particular, migration and refugee studies, LGBTQ issues, and related areas.
We welcome applicants with a JD, LLM, SJD, PhD or other comparable degree who are interested in spending from one month up to one year in residence at Harvard Law School working on an independent project."</t>
  </si>
  <si>
    <t>travel and up to two weeks lodging at NCSU</t>
  </si>
  <si>
    <t>"Visiting Scholar Grants provide funding for researchers working on early Arab diaspora and migration to work at the Khayrallah Center for a period of 1 to 2 weeks. Researchers will have access to resources available at the Khayrallah Center’s archive."</t>
  </si>
  <si>
    <t>up to $51,000</t>
  </si>
  <si>
    <t>"The Research Fellowship Program aims to promote and cultivate scholarly research about Oman across several academic disciplines. The fellowship is open to PhD candidates and university academics who are US citizens or affiliated with an American university, and funds one scholar or team of scholars to carry out research in Oman each year."</t>
  </si>
  <si>
    <t xml:space="preserve">&lt;5 years postdoc 
early career </t>
  </si>
  <si>
    <t>$52,500 plus $3,000 for research costs</t>
  </si>
  <si>
    <t>"The Schusterman Center for Israel Studies at Brandeis University invites applications for our Israel Institute Post-doctoral Fellowship in Israel Studies 2018-2019. Priority given to PhDs in Gender Studies, Economics, Politics, Social Sciences, and Theater, Film and Media Studies.
The fellow will teach one course per semester in Israel Studies, in the relevant Brandeis department. The fellow is expected to be in residence at Brandeis University, participate actively in the intellectual life of the Schusterman Center for Israel Studies, and present at least one public lecture."</t>
  </si>
  <si>
    <t xml:space="preserve"> monthly per diem commensurate with academic status that 
provides for round-trip economy airfare.</t>
  </si>
  <si>
    <t>Available to American postdoctoral scholars, faculty and senior scholars worldwide with a minimum stay of four months and maximum stay of 10 months.</t>
  </si>
  <si>
    <t>"In the interest of promoting scholarly research on all aspects of Middle Eastern and Islamic studies, the Center for Middle Eastern Studies appoints a small number of Visiting Researchers each academic year. Their work covers a wide range of fields, including anthropology, religion, history, political science, economics, and literature. The Visiting Researchers contribute to a lively community at CMES that encourages interdisciplinary contact."</t>
  </si>
  <si>
    <t>Visiting scholars and PhD students from other Israeli or foreign academic institutions have the opportunity to work one-on-one with researchers at the center and utilize its resources to anthropology, sociology, and religion. Applicants must be doctoral candidates or have received a PhD degree. Applicants are responsible for their own funding and housing arrangements. The minimum duration of the affiliation is three months, which can be extended up to one year.</t>
  </si>
  <si>
    <t>Language and Area Studies
Russia, Ukraine, and area</t>
  </si>
  <si>
    <t>$4,000/month for three months</t>
  </si>
  <si>
    <t>3/1/18 OTHER DEADLINE 
"The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
Open to non-citizens.</t>
  </si>
  <si>
    <t>Jefferson Science Fellowship</t>
  </si>
  <si>
    <t>In conjunction with the U.S. Department of State and the U.S. Agency for International Development (USAID)
"Selected Jefferson Science Fellows spend one year on assignment at the U.S. Department of State or USAID as science advisors on foreign policy/international development issues. Assignments are tailored to the needs of the hosting office, while taking into account the Fellows’ interests and areas of expertise. As part of their assignments, Fellows also have the opportunity to travel to U.S. embassies and missions overseas. Following the fellowship year, Fellows will return to their academic career but will remain available to the U.S. government as an experienced consultant for short-term projects."</t>
  </si>
  <si>
    <t>5+ years experience</t>
  </si>
  <si>
    <t>$6,000/1 month</t>
  </si>
  <si>
    <t>KS signed up for mailing list
"We select the best and the brightest practitioners in the field and award them a $6,000 stipend and a month of valuable, cutting-edge training. Our curriculum is delivered by a faculty of global experts who work closely with each carefully selected cohort of Fellows to explore new ways to apply market-based approaches to environmental issues.
With our case study methodology, Fellows find new solutions to real life conservation challenges. Over the course of a month, Fellows attend dynamic sessions, participate in collaborative and independent projects, and enjoy a rich, multi-faceted experience."</t>
  </si>
  <si>
    <t>Sciences
History of science</t>
  </si>
  <si>
    <t>Postdoc</t>
  </si>
  <si>
    <t>$45,000/year for two years</t>
  </si>
  <si>
    <t>"The Beckman Center offers fellowships on an annual cycle for scholars doing research in the history and social studies of chemistry and related sciences, technologies, and industries. Fellows are expected to participate in biweekly informal writing groups and give at least one lunchtime lecture. They also have the opportunity to take part in a variety of outreach activities while in residence at CHF. About 20 fellowships are given out annually, making the Beckman Center the largest private fellowship program in the history of science in the United States."</t>
  </si>
  <si>
    <t>Congressional Science Fellowships</t>
  </si>
  <si>
    <t>"Fellowships are for one year, usually running September through August. Following a two-week orientation in Washington sponsored by the American Association for the Advancement of Science, incoming Congressional Fellows become acquainted with most aspects of their future work environment. Following interviews on the Hill, Fellows choose a congressional office — personal or committee staff — where they wish to serve. Fellows are expected to be capable of handling varied assignments, both technical and non-technical.
The Program's popularity with Members of Congress continues to grow. Typically, 150-200 congressional offices express interest in the 200-300 fellows who participate in the AAAS fellowship program. Former fellows express enthusiasm in their evaluations, and many elect to stay in the public policy arena; it is not unusual to find former fellows in influential positions in Washington."</t>
  </si>
  <si>
    <t>Erikson Scholar Program</t>
  </si>
  <si>
    <t>stipend, housing</t>
  </si>
  <si>
    <t>"This endowed scholar-in-residence program brings scholars to the Center to carry out their research projects in conversation with the clinical staff.  Scholars are selected both for the centrality of their theme to the work of the staff and for the potential of that work to enrich and be enriched by interaction with the clinical program.  Academicians, clinicians, and other professionals are invited into the clinical and intellectual life of the Center through participation in seminars, lectures, case discussions and other interdisciplinary activities, including the Erikson Institute-Williams College Study Group and Interdisciplinary Forums. 
In addition to mental health professionals, academicians in the fields of anthropology, history, law, literary criticism, political science, sociology and other relevant disciplines are encouraged to apply. Generally, scholars are in residence at the Center for a period of fourteen weeks.  The position includes a stipend, housing (pet and smoke-free), administrative support, and use of the Center’s library."</t>
  </si>
  <si>
    <t>APA Congressional Fellowship Program</t>
  </si>
  <si>
    <t>$75,000-90,000</t>
  </si>
  <si>
    <t>"The purpose of this fellowship is to provide psychologists with an invaluable public policy learning experience, to contribute to the more effective use of psychological knowledge in government and to broaden awareness about the value of psychology-government interaction among psychologists and within the federal government. Fellows spend one year working on the staff of a member of Congress or congressional committee. Activities may involve drafting legislation, conducting oversight work, assisting with congressional hearings and events, and preparing briefs and speeches. Fellows also attend a two-week orientation program on congressional and executive branch operations, which provides guidance for the congressional placement process, and participate in a yearlong seminar series on science and public policy issues. The American Association for the Advancement of Science (AAAS) administers these professional development activities for the APA fellows and for fellows sponsored by over two dozen other professional societies."</t>
  </si>
  <si>
    <t>Social Science
Language and Area Studies
Eastern Europe &amp; former Soviet Union</t>
  </si>
  <si>
    <t>$3,500/month for 2-9 months</t>
  </si>
  <si>
    <t>Summer grants = $7,000 for two months
"The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t>
  </si>
  <si>
    <t>$3,500/month for 3-9 months</t>
  </si>
  <si>
    <t xml:space="preserve">"The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
The Billington Fellowship allows early career scholars "to conduct research on Russian history and culture."
</t>
  </si>
  <si>
    <t>Association for Information Science and Technology</t>
  </si>
  <si>
    <t>$3,500 for 1 month</t>
  </si>
  <si>
    <t>2/15/18  OTHER DEADLINE
"The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t>
  </si>
  <si>
    <t>Social Science
Political Science</t>
  </si>
  <si>
    <t>At the University of Sao Paulo (USP), main campus, "[t]each graduate and undergraduate courses, develop collaborative research with faculty and, subject to agreement of the academic committees of the Institute of International Relations at USP, teach courses and/or advanced seminars in topics to be defined.
In addition to being a prestigious academic exchange program, the Fulbright Program is designed to expand and strengthen relationships between the people of the United States and citizens of other nations and to promote international understanding and cooperation. To support this mission, Fulbright Scholars will be asked to give public talks, mentor students, and otherwise engage with the host community, in addition to their primary research or teaching activities‎."</t>
  </si>
  <si>
    <t>mid-career and established</t>
  </si>
  <si>
    <t>"The Russell Sage Foundation's Visiting Scholars Program provides a unique opportunity for select scholars in the social, economic and behavioral sciences to pursue their research and writing while in residence at the Foundation’s New York headquarters. Research carried out by Visiting Scholars constitutes an important part of the Foundation’s ongoing effort to analyze and understand the complex and shifting nature of social and economic life in the United States. While Visiting Scholars typically work on projects related to the Foundation’s current programs, a few scholars whose research falls outside these areas are occasionally invited as well. Descriptions of our prior Visiting Scholar classes along with summaries of their projects attest to the diversity of scholars, disciplines and projects selected."</t>
  </si>
  <si>
    <t>Visiting Fellowship</t>
  </si>
  <si>
    <t xml:space="preserve">stipend, travel, health insurance, partial housing </t>
  </si>
  <si>
    <t>"the Kellogg Institute for International Studies has offered visiting fellowships to promote interdisciplinary international research in a supportive community of scholars. This widely respected residential program offers you time to pursue scholarly inquiry where it takes you, advance your personal research, and collaborate with other scholars and practitioners from across the US and around the globe.
As a visiting fellow, you pursue research related to Kellogg Institute themes of democracy and human development, share your research with the Notre Dame scholarly community, and have the opportunity to publish in Kellogg’s peer-reviewed Working Paper Series." ... "We expect fellows to attend and participate in the weekly seminar and lecture series and most Kellogg events."</t>
  </si>
  <si>
    <t>"The Reagan-Fascell Democracy Fellows Program hosts democracy activists, scholars, and journalists for five-month fellowships, bringing fresh insights and perspectives to Washington, DC. The fellowship offers an important opportunity to explore new ideas in a comparative context, undertake individual research, and share best practices with one another."</t>
  </si>
  <si>
    <t>International Affairs Fellowship</t>
  </si>
  <si>
    <t>mid-career</t>
  </si>
  <si>
    <t>"Established in 1967, the International Affairs Fellowship (IAF) is the hallmark fellowship program of CFR. It aims to bridge the gap between the study and making of U.S. foreign policy by creating the next generation of scholar-practitioners. The program offers its fellows the unique chance to experience a new field and gain a different perspective at a pivotal moment in their careers. Academics are thus placed in public service and policy-oriented settings, while government officials are placed in scholarly settings."</t>
  </si>
  <si>
    <t>Individual Residential Fellowships</t>
  </si>
  <si>
    <t>$75,000/one year</t>
  </si>
  <si>
    <t>"In addition to scholars working in fields of the behavioral and social sciences, those in other areas will also be considered for fellowships if their work has human behavioral and social dimensions.... Fellows must reside during their fellowship term in a community within ten miles of the Center. CASBS partners with several entities to provide funding for some residential fellows whose research projects focus on certain topics.
An applicant’s statement of interest in one of these options does not bear on the CASBS fellowship selection committee’s process, nor does it guarantee that an applicant will receive this particular fellowship in the event that they are awarded a CASBS fellowship."</t>
  </si>
  <si>
    <t>Yale University LGBT Studies Research Fellowship</t>
  </si>
  <si>
    <t>Social Science
Gender studies</t>
  </si>
  <si>
    <t>"Lesbian, Gay, Bisexual, and Transgender Studies at Yale University is proud to announce the second annual Yale LGBT Studies Research Fellowship. The Fellowship is offered annually, and is designed to provide access to Yale resources in LGBT Studies for scholars who live outside the greater New Haven area. 
Scholars from across the country and around the world are invited to apply for the Yale LGBT Studies Research Fellowship. This fellowship supports scholars from any field pursuing research in lesbian, gay, bisexual, transgender, and/or queer studies at Yale University, utilizing the vast faculty resources, manuscript archives, and library collections available at Yale. Graduate students conducting dissertation research, independent scholars, and all faculty are invited to apply. Scholars residing within 100 miles of New Haven are ineligible."</t>
  </si>
  <si>
    <t>Social Science
Anthropology and Archeology</t>
  </si>
  <si>
    <t>AWARDED EVERY OTHER YEAR
"A pre- or post-doctoral fellowship for study of archaeology and classical studies, awarded every other year, has been established by the Institute at the American Academy in Rome. This fellowship, with other funds from the American Academy in Rome, will support a Rome Prize Fellowship."</t>
  </si>
  <si>
    <t>On hold?
"NIJ's Visiting Fellows Program brings experienced practitioners, policymakers, and — in exceptional circumstances — researchers into residency at NIJ to make important policy and scholarly contributions with practical application to the criminal justice field and to infuse research into policy and practice.
Fellows also work with NIJ leadership, staff, NIJ partners, and criminal justice practitioners to help shape the direction of NIJ’s relevant programs and ensure portfolios respond to the priority needs of the field."</t>
  </si>
  <si>
    <t>salary and travel</t>
  </si>
  <si>
    <t>3/1/18 OTHER DEADLINE
"The Kettering Foundation invites journalists and scholars of journalism from around the world to spend up to six months working with us in Dayton, Ohio, to explore the role of journalism in a democratic society and the obligations of journalists to democratic public life. While at the foundation, residents are expected to work with Kettering’s staff on the foundation’s ongoing research in this area. Work will include literature reviews related to the foundation’s program areas, exploration of the role of a deliberative public in the political work of communities domestically and internationally, and participation in workshops and other meetings related to the foundation’s research."
Dayton, Ohio</t>
  </si>
  <si>
    <t>Postdoctoral Fellowships</t>
  </si>
  <si>
    <t>Fellowship on site (most likely)</t>
  </si>
  <si>
    <t>&lt;5 years post doc</t>
  </si>
  <si>
    <t>€2111.09/month</t>
  </si>
  <si>
    <t>"The musée du quai Branly – Jacques Chirac offers every year doctoral and post-doctoral fellowships to support Ph.D. candidates and early career scholars in pursuing innovative research projects. 
The academic fields concerned are: anthropology, ethnomusicology, art history, history, archaeology, sociology, performance studies.
The research topics concerned are: Western and non-Western arts, material and immaterial heritage, museum institutions and their collections, technology, ritual performance and material culture.
The projects most likely to benefit from the environment of the musée du quai Branly – Jacques Chirac will be examined with particular attention....
Five postdoctoral fellowships are offered to early career scholars to collectively develop a one year research program on the theme “value and materialities”. Each of these terms must be understood in its broader sense to account for all their possible relations, the museum collection being one of its modalities."</t>
  </si>
  <si>
    <t>Sciences
Astronomy</t>
  </si>
  <si>
    <t>Fellowship on site (with exceptions)</t>
  </si>
  <si>
    <t>"The Jansky Fellowship Program supports outstanding postdoctoral scientists whose research is broadly related to the mission and scientific goals of the National Radio Astronomy Observatory (NRAO), which operates two world-class research facilities: the Atacama Large Millimeter/submillimeter Array and the Very Large Array.
As a Jansky Fellow, you will have a unique opportunity to contribute to and learn from the development and delivery of the largest and most capable radio telescopes in the world. Research that employs NRAO telescopes in multi-wavelength collaborations is encouraged. Candidates with interests in radio astronomy techniques, instrumentation, computation, and theory are encouraged to apply. Applicants should describe how their research or technical interests couple with NRAO telescopes or science."</t>
  </si>
  <si>
    <t>Fellowship on-site</t>
  </si>
  <si>
    <t>&lt;$10,500</t>
  </si>
  <si>
    <t>"The Council of American Overseas Research Centers Multi-Country Research Fellowship Program supports advanced regional or trans-regional research in the humanities, social sciences, or allied natural sciences for U.S. doctoral candidates and scholars who have already earned their Ph.D. Preference will be given to candidates examining comparative and/or cross-regional research. Scholars must carry out research for a minimum of 90 days in two or more countries outside the United States, at least one of which hosts a participating American overseas research center. Funding is provided by the State Department's Bureau of Educational and Cultural Affairs."</t>
  </si>
  <si>
    <t>Translation Projects Fellowship</t>
  </si>
  <si>
    <t>A&amp;H
English Literature and Translation</t>
  </si>
  <si>
    <t>fellowship project</t>
  </si>
  <si>
    <t>$12,500-$25,000</t>
  </si>
  <si>
    <t>"Through its fellowships in literary translation, the NEA supports the new translation of fiction, creative nonfiction, poetry, and drama into English. Among this year’s projects are awardwinning novels, short stories, poetry, and a play from 15 languages and five continents, including works from Japan, Madagascar, and India. In addition, most of the translated works are appearing for the first time in English and ten of them are by female authors."</t>
  </si>
  <si>
    <t>Women’s Caucus Editing and Translation Fellowship</t>
  </si>
  <si>
    <t>"The ASECS Women’s Caucus Editing and Translation Fellowship, is an annual award of $1000 to support an editing or a translation work in progress of an eighteenth-century primary text on a feminist or a Women’s Studies subject. Editing and translation work of eighteenth-century texts in languages other than English are eligible. The award is open to all members of ASECS who have received a PhD. Proposals from Emeritae/i faculty that do not already have professional support for the project will also be considered. The award is meant to fund works in progress, commensurate in scope with a scholarly article-length project to a longer scholarly and/or a classroom edition with a strong scholarly basis for which research and work is well under way, rather than work that is already completed. 
To be eligible for the prize, projects must translate and/or edit works by eighteenth-century women writers or works that significantly advance our understanding of women’s experiences in the eighteenth century or offer a feminist analysis of any aspect of eighteenth-century culture and/or society. Projects typically fall within the period from 1660 to 1820."</t>
  </si>
  <si>
    <t>Hunt Postdoctoral Fellowships</t>
  </si>
  <si>
    <t>Fellowship project</t>
  </si>
  <si>
    <t>"By providing funds for scholars to devote themselves full-time to writing, the Foundation aims to enable a new generation of scholars to publish significant works that will impact the development of anthropology. The program contributes to the Foundation's overall mission to support basic research in anthropology and to ensure that the discipline continues to be a source of vibrant and significant work that furthers our understanding of humanity's cultural and biological origins, development, and variation. The Foundation supports research that demonstrates a clear link to anthropological theory and debates."</t>
  </si>
  <si>
    <t>Fellowship Awards in the Neurosciences</t>
  </si>
  <si>
    <t>fellowship research</t>
  </si>
  <si>
    <t>$225,000/3 years</t>
  </si>
  <si>
    <t xml:space="preserve">“Aimed at advancing cutting-edge investigations, the awards are presented to highly promising, early career scientists. At this critical juncture in young investigators' careers, when funding can be a challenge, the fellowship awards promote higher-risk, and potentially higher-reward, projects.”  </t>
  </si>
  <si>
    <t>Sloan Research Fellowships</t>
  </si>
  <si>
    <t>Fellowship research</t>
  </si>
  <si>
    <t>The Sloan Foundation "fund[s] research and education in science, technology, engineering, mathematics and economics" ... "The Sloan Research Fellowships seek to stimulate fundamental research by early-career scientists and scholars of outstanding promise." ... "Successful candidates for a Sloan Research Fellowship generally have a strong record of significant independent research accomplishments that demonstrate creativity and the potential to become future leaders in the scientific community. Nominated candidates are normally below the rank of associate professor and do not hold tenure, but these are not strict requirements."</t>
  </si>
  <si>
    <t>&lt;2 years postdoc</t>
  </si>
  <si>
    <t>$62,000, &lt;$10,000 for health insurance, &lt;$10,000 for research costs</t>
  </si>
  <si>
    <t>"The Simons Foundation invites applications for postdoctoral fellowships to support research on fundamental problems in marine microbial ecology. The foundation is particularly interested in applicants with training in different fields who want to apply their experience to understanding the role of microorganisms in shaping ocean processes and vice versa, as well as applicants with experience in modeling or theory development. While these cross-disciplinary applicants will receive particular attention, applicants already involved in ocean research are also encouraged to apply."</t>
  </si>
  <si>
    <t>program closed?</t>
  </si>
  <si>
    <t>mid-career
experienced</t>
  </si>
  <si>
    <t>August 8 and December 8, 2018, and April 8, 2019  OTHER DEADLINES
"The Ruth L. Kirschstein National Research Service Awards for Senior Fellows (F33) provides up to two years of support for experienced scientists who wish to make major changes in the direction of their research careers or who wish to broaden their scientific background by acquiring new research capabilities. These awards are targeted to individuals with at least seven years of research experience beyond the doctorate, and who have progressed to the stage of independent investigator. In most cases, this award is used to support sabbatical experiences."</t>
  </si>
  <si>
    <t>50% of salary &lt;$100,000 plus &lt;$10,000 for expenses related to a leave</t>
  </si>
  <si>
    <t>"The Simons Foundation’s Mathematics and Physical Sciences (MPS) division invites applications for the Simons Fellows in Mathematics program, which is intended to make sabbatical leaves more productive by extending them to a full academic year."</t>
  </si>
  <si>
    <t>50% of salary &lt;$100,000 plus &lt;$25,000 for expenses related to a leave</t>
  </si>
  <si>
    <t>"The Simons Foundation’s Mathematics and Physical Sciences (MPS) division invites applications for the Simons Fellows in Theoretical Physics program, which is intended to make sabbatical leaves more productive by extending them to a full academic year."</t>
  </si>
  <si>
    <t>Hubble Fellowship Program</t>
  </si>
  <si>
    <t>Narrow years requirement
"The NASA Hubble Fellowship Program (NHFP) supports outstanding postdoctoral scientists to pursue independent research in any area of NASA Astrophysics, using theory, observation, experimentation, or instrumental development.  
The new NHFP preserves the legacy of NASA’s previous postdoctoral fellowship programs; once selected, fellows are named to one of three sub-categories corresponding to NASA’s “big questions:”  
How does the Universe work? – Einstein Fellows
How did we get here? – Hubble Fellows
Are we alone? – Sagan Fellows"</t>
  </si>
  <si>
    <t>Fellowship research on site</t>
  </si>
  <si>
    <t>"The Georgia O’Keeffe Museum offers a variety of fellowships that foster research, exploration, and dialogue. It strives to provide a supportive environment for the pursuit of furthering knowledge and collaboration.
Fellowships in the following three categories will be available for the 2018 calendar year – Academic, Museum Studies, Research, and Collections. Up to two fellows in each category may be selected."</t>
  </si>
  <si>
    <t>H. Allen Brooks Travelling Fellowship</t>
  </si>
  <si>
    <t>Fellowship travel</t>
  </si>
  <si>
    <t>"The Society of Architectural Historians’ prestigious H. Allen Brooks Travelling Fellowship will be offered for 2017 and will allow a recent graduate or emerging scholar to study by travel for one year. The fellowship is not for the purpose of doing research for an advanced academic degree. Instead, Professor Brooks intended the recipient to study by travel and contemplation while observing, reading, writing, or sketching. 
The goals are to provide an opportunity for a recent graduate with an advanced degree or an emerging scholar to:
see and experience architecture and landscapes firsthand
think about their profession deeply
acquire knowledge useful for the recipient’s future work, contribution to their profession, and contribution to society
The fellowship recipient may travel to any country or countries during the one-year period."</t>
  </si>
  <si>
    <t>East-West: The Art of Dialogue Fellowship</t>
  </si>
  <si>
    <t>Early career
24-35yo</t>
  </si>
  <si>
    <t>"The East-West: The Art of Dialogue initiative organises an annual exchange program, the Gabr Fellowship, for young emerging leaders from the East and the West to join forces to develop and implement projects addressing critical issues in their countries....
Each year, the Fellowship consists of 22-24 Fellows with approximately 10 Americans and 10 Egyptians, of which half are men and half are women.... Program participants spend two weeks in Egypt, followed by a further two weeks in the U.S., building enduring connections through hands-on activities, rigorous discussions, web-based interaction and most importantly, their own collaborative ‘action projects’."</t>
  </si>
  <si>
    <t>Fulbright U.S. Scholar Program</t>
  </si>
  <si>
    <t>"The Core Fulbright Scholar Program offers over 500 teaching, research or combination teaching/research awards in over 125 countries. Opportunities are available for college and university faculty and administrators as well as for professionals, artists, journalists, scientists, lawyers, independent scholars and many others. In addition to several new program models designed to meet the changing needs of U.S. academics and professionals, Fulbright is offering more opportunities for flexible, multi-country grants."</t>
  </si>
  <si>
    <t>established</t>
  </si>
  <si>
    <t>Maintenance stipend per month: Rs 74,750
Research and travel per month:Rs 29,250
Dollar supplement per month: $115
Per dependent allowance per month:Rs 13,000</t>
  </si>
  <si>
    <t>"Senior Research Fellowships are available to scholars with a PhD or its equivalent. These grants are designed to enable scholars who specialize in South Asia to pursue further research in India and to establish formal affiliation with an Indian institution. Short-term awards are available for up to four months. Long-term awards are available for six to nine months. A limited number of humanists will be granted fellowships paid in dollars funded by the National Endowment for the Humanities....
Senior Scholarly/Professional Development Fellowships are available both to established scholars who have not previously specialized in Indian studies and to established professionals who have not previously worked or studied in India. Senior Scholarly/Professional Development Fellows are formally affiliated with an Indian institution. Awards may be granted for periods of six to nine months.
Senior Performing and Creative Arts Fellowships are available to accomplished practitioners of the performing arts of India and creative artists who demonstrate that study in India would enhance their skills, develop their capabilities to teach or perform in the U.S., enhance American involvement with India’s artistic traditions or strengthen their links with peers in India."</t>
  </si>
  <si>
    <t>&lt;3 years postdoc</t>
  </si>
  <si>
    <t>$1,500/month</t>
  </si>
  <si>
    <t>"The Society for French Historical Studies offers two research fellowships (up to $1,500 per award) for maintenance during research in France for a period of at least one month.... These awards are not for travel to or from France.  The proposed fields for research can include all areas of French historical and cultural studies."</t>
  </si>
  <si>
    <t>$6,000-$9,000</t>
  </si>
  <si>
    <t>"The Palestinian American Research Center (PARC) announces its 19th annual U.S. research fellowship competition for doctoral students or scholars who have earned their PhD and whose research will contribute to Palestinian studies. Research must take place in Palestine, Israel, Jordan, or Lebanon."</t>
  </si>
  <si>
    <t>NatureNet Science Fellow Program</t>
  </si>
  <si>
    <t>"The Conservancy has established the NatureNet Science Fellows Program in partnership with a rotating set of the world’s leading universities to create a reservoir of new interdisciplinary science talent that will carry out the new work of conservation. Fellows and grantees will work with a Nature Conservancy mentor and a hosting senior scholar (or scholars) to develop a research program. This joint mentorship model allows for fellows and grantees to take fundamental research questions and the traditional support provided by universities and embed themselves in the practice of applied conservation through TNC networks. Within this framework, the NatureNet program goals are to:
Support innovative and impact-oriented research that help deliver TNC outcomes;
Invest in the talent potential of a new generation of climate change leaders;
Recruit scientists who bring a diversity of culture, experience, and ideas into conservation; and
Provide partner universities and fellows with access to real-world conservation issues."</t>
  </si>
  <si>
    <t>Archealogy of Portugal Fellowships</t>
  </si>
  <si>
    <t>SocSci
Anthropology and Archeology</t>
  </si>
  <si>
    <t>$2,000-7,500</t>
  </si>
  <si>
    <t>"To support projects pertaining to the archaeology of Portugal, to be conducted between July 1 of the award year and the following June 30. These include, but are not limited to, research projects, colloquia, symposia, publication, and travel for research or to academic meetings for the purpose of presenting papers on the archaeology of Portugal."</t>
  </si>
  <si>
    <t>early career (preference given to &lt;5 years postdoc)</t>
  </si>
  <si>
    <t>"For travel and study to be conducted between July 1 of the award year and the following June 30. Preference will be given to projects of at least a half-year's duration. The award is to be used for travel and study in Greece (the modern state), Cyprus, the Aegean Islands, Sicily, southern Italy (that is, the Italian provinces of Campania, Molise, Apulia, Basilicata, and Calabria), Asia Minor (Turkey) or Mesopotamia (that is, the territory between the Tigris and Euphrates rivers, that is modern Iraq and parts of northern Syria and eastern Turkey)."</t>
  </si>
  <si>
    <t>"To support studies undertaken at the American School of Classical Studies at Athens, Greece for no more than a year."</t>
  </si>
  <si>
    <t xml:space="preserve">Fellowship travel
</t>
  </si>
  <si>
    <t>$5,000-25,000</t>
  </si>
  <si>
    <t>"Funded by the U.S. Department of State’s Program for Research and Training on Eastern Europe and the Independent States of the Former Soviet Union (Title VIII), the American Councils Research Scholar Program provides full support for graduate students, faculty, and independent scholars seeking to conduct in-country, independent research for three consecutive months to nine consecutive months in Russia, Eurasia, and Eastern Europe."</t>
  </si>
  <si>
    <t>Fellowships travel</t>
  </si>
  <si>
    <t>"The Japan U.S. Friendship Commission offers leading contemporary and traditional artists from the United States the opportunity to spend three to five months in Japan through the U.S.-Japan Creative Artists Program.  Artists go as seekers, as cultural visionaries, and as living liaisons to the traditional and contemporary cultural life of Japan.  They also go as connectors who share knowledge and bring back knowledge. Their interaction with the Japanese public and the outlook they bring home provide exceptional opportunities to promote cultural understanding between the United States and Japan."</t>
  </si>
  <si>
    <t>grant</t>
  </si>
  <si>
    <t>"The Nancy Weiss Malkiel Scholars Award, supported by the Andrew W. Mellon Foundation and administered by the Woodrow Wilson National Fellowship Foundation, supports junior faculty whose research focuses on contemporary American history, politics, culture, and society, and whose service addresses the need for a more inclusive, responsive academic culture on their campus for peers and students. Eligible applicants must be assistant professors in tenure track positions with a record of service that prioritizes the creation of an inclusive campus community for underrepresented students and scholars."</t>
  </si>
  <si>
    <t>up to $4,000</t>
  </si>
  <si>
    <t>"Each year, the Friends of the Princeton University Library offer short-term Library Research Grants to promote scholarly use of the research collections. Library Research Grants are offered in a number of programs, including the study of Hellenic cultures, children’s books, Portuguese-speaking cultures, and the Age of Revolution and the Enlightenment in the Atlantic World. These Library Research Grants are meant to help defray expenses incurred in traveling to and residing in Princeton during the tenure of the grant. The length of the grant will depend on the applicant’s research proposal, but is ordinarily up to one month."</t>
  </si>
  <si>
    <t>Grant</t>
  </si>
  <si>
    <t>"The Gladstone Library offers residential scholarships and bursaries designed to support anyone working on a project that would benefit from a stay at Gladstone’s Library. These scholarships are primarily to enable those who would find the cost of staying at Gladstone’s Library difficult or prohibitive. They support research of varying topics in the Arts and the Humanities. Scholarships will only be awarded for a maximum of 1 week."</t>
  </si>
  <si>
    <t>"King’s College London offers the award of a bursary to support original research on the Royal Archives at Windsor Castle for up to a month during the summer. These bursaries are open to all researchers. The Programme is promoting and developing a research programme in support of the digitization of some 350,000 pages of original archives. Fellows will undertake their own research and also be invited by staff of the Georgian Papers Programme to share their insights into the collection and join with fellows from other schemes at a number of events as part of a growing academic cohort."
"The School lies at the heart of a global research community, acting both as a national hub for advanced level research into the humanities and social sciences and an international meeting point and research resource for scholars from all over the world.
Each year the School welcomes around 140 visiting research fellows who benefit from its unique research resources and multidisciplinary scholarly community."</t>
  </si>
  <si>
    <t>A&amp;H
Film</t>
  </si>
  <si>
    <t>Established</t>
  </si>
  <si>
    <t>2018 Deadline was January 31
"Academy Film Scholars grants are awarded to previously published individuals who are pursuing significant new works of film scholarship. These grants fund research as well as academic and scholarly projects that elevate both filmmaking and film scholarship. Projects must address cultural, educational, historical, theoretical or scientific aspects of theatrical motion pictures. Applicants must have written and published at least one book of scholarship prior to applying. "</t>
  </si>
  <si>
    <t>$500-$5,000</t>
  </si>
  <si>
    <t>"To fulfill its commitment to advance research in religion, the AAR each year grants awards  to support projects proposed by AAR members and selected by the AAR Research Grants Jury. These projects can be either collaborative or individual. These grants provide support for important aspects of research such as travel to archives and libraries and field work as well as networking, communication, and small research conferences. "</t>
  </si>
  <si>
    <t>$20,000-$35,000</t>
  </si>
  <si>
    <t>"To help replace half of a professor’s salary while on sabbatical, or for time off for research and writing. The Foundation’s grants provide support for research on Chinese studies in the humanities and social sciences. The grant is for one year."</t>
  </si>
  <si>
    <t>Arts</t>
  </si>
  <si>
    <t>"Creative Engagement is a grant program designed to enable Manhattan’s artists and small nonprofit organizations to access local public funds under the guiding principle that support for artists of diverse disciplines, practices, cultural backgrounds, and career stages contributes to the vibrancy and sustainability of our communities. Creative Engagement aims to support effective and innovative approaches to engaging audiences through projects and programming of strong artistry. Funding is provided for projects in the performing, literary, media, and visual arts, ranging from folk/traditional forms to contemporary and socially-engaged artistic practices. Creative Engagement strongly supports the payment of artist fees."</t>
  </si>
  <si>
    <t>"Creative Learning is a grant program designed to support and develop the capacity of Manhattan’s teaching artists and small arts organizations to provide in-depth, community-based arts education and enrichment projects and programming to participants of all ages including youth, adults, and/or seniors. The program aims to support effective and innovative approaches to artist-led, age- and skills-appropriate instruction outside of the school setting, as well as education-based approaches to participatory arts projects. Emphasis is placed on quality and depth of the creative process through which participants learn through and about the arts. Creative Learning strongly supports the payment of artist fees."</t>
  </si>
  <si>
    <t>"UMEZ Arts Engagement is a new grant program launched in December 2017 to enhance the diversity and frequency of arts and cultural presentations in Upper Manhattan. The program provides direct support for these activities to Upper Manhattan’s artists and nonprofit arts organizations under the guiding principle that support for artists of diverse disciplines, practices, cultural backgrounds, and career stages contributes to the vibrancy and sustainability of the communities in which they live and work. "</t>
  </si>
  <si>
    <t xml:space="preserve">up to 2.5€ million for 5 years </t>
  </si>
  <si>
    <t>" The ERC offers long-term funding for established, leading principal investigators who wish to pursue ground-breaking, high-risk projects. Applicants for the ERC Advanced Grants – called Principal Investigators (PI) – are expected to be active researchers who have a track-record of significant research achievements in the last 10 years. The Principal Investigators should be exceptional leaders in terms of originality and significance of their research contributions. Applications can be made in any field of research and research must be conducted in a public or private host institution. Consolidator grants are designed to support excellent Principal Investigators at the career stage at which they may still be consolidating their own independent research team or programme. Applications can be made in any field of research. The programme encourages proposals of a multi- or interdisciplinary nature."</t>
  </si>
  <si>
    <t>"Sapere Aude: DFF-Starting Grants are targeted at excellent, younger researchers who intend to gather a group of researchers in order to carry out a research project at a high international level. The objective of the grant is to give talented researchers who have earned their PhD within the last eight years an opportunity to develop and strengthen their research ideas. In all cases, a general assessment criterion will be the extent to which the project will benefit Danish research."</t>
  </si>
  <si>
    <t>John and Polly Sparks Early Career Grant</t>
  </si>
  <si>
    <t xml:space="preserve">"The mission of the AXA Research Fund is to support academic institutions hosting outstanding researchers committed to improving people’s life by carrying out cutting-edge and innovative research dealing with global societal challenges related to Life &amp; Health, Data &amp; Technology, Climate &amp; Environment, and Economics &amp; Insurance."
Vehicules include AXA Awards, AXA Projects, AXA Outlooks, Chairs, Joint Research Initiatives, Postdoctoral (Future Leader Research?) Fellowships.  </t>
  </si>
  <si>
    <t>Neotropical Migratory Bird Conservation Act Grants</t>
  </si>
  <si>
    <t>"The NMBCA program provides matching grants to Neotropical migratory bird conservation projects throughout the Western Hemisphere, with at least 75 percent of funding going to projects outside the United States. The competitive grants require that grant requests be matched by partner contributions at no less than a 3-to-1 ratio."</t>
  </si>
  <si>
    <t>Walfish Grants Program</t>
  </si>
  <si>
    <t>For graduate students and early career (within 10 years of PhD.)
"The Steven O. Walfish Grants supported by the Division 42 Next Generation Fund promote and support the next generation of student and early career practitioner psychologists to expand the knowledge base in the practice of psychology."</t>
  </si>
  <si>
    <t>Pearson Early Career Grant</t>
  </si>
  <si>
    <t>NOT OFFERED 2019
"The Pearson Early Career Grant supports psychology’s efforts to improve areas of critical need in society and encourages talented early career psychologists to devote their careers to solving social problems. The Pearson Grant encourages the use of sound assessment."</t>
  </si>
  <si>
    <t>New Civics Small Grant Program</t>
  </si>
  <si>
    <t>Social Sciences
Education</t>
  </si>
  <si>
    <t>Similar deadline annually, but confirm date on website
The Foundation is intended, by Spencer's direction, to investigate ways in which education, broadly conceived, can be improved around the world. From the first, the Foundation has been dedicated to the belief that research is necessary to the improvement in education. The Foundation is thus committed to supporting high-quality investigation of education through its research programs and to strengthening and renewing the educational research community through its fellowship and training programs and related activities"</t>
  </si>
  <si>
    <t>SocSci
Sociology</t>
  </si>
  <si>
    <t>$10,000-$20,000</t>
  </si>
  <si>
    <t>"The Sociological Initiatives Foundation supports social change by linking research to social action.  It funds research projects that investigate laws, policies, institutions, regulations, and normative practices that may limit equality in the United States.  It gives priority to projects that seek to address racism, xenophobia, classism, gender bias, exploitation, or the violation of human rights and freedoms.  It also supports research that furthers language learning and behavior and its intersection with social and policy questions."</t>
  </si>
  <si>
    <t>Environmental Science</t>
  </si>
  <si>
    <t>initiatives</t>
  </si>
  <si>
    <t>$5,000-$25,000</t>
  </si>
  <si>
    <t xml:space="preserve">The mission of the Horne Family Foundation is “First, to preserve and maintain the legacy of the Horne Family in Massachusetts’ Greater Merrimack Valley and southern New Hampshire regions by supporting various community efforts that specifically relate to Human Services, Environment and Wildlife.
Secondly, the Foundation seeks to broaden its impact by supporting national initiatives aimed at the Environment, Wildlife Preservation and Animal Welfare.” </t>
  </si>
  <si>
    <t>$10,000 average</t>
  </si>
  <si>
    <t>“Areas of Interest
•        Environmental Health &amp; Justice
•        Land Conservation
•        Sustainability of Resources 
•        Mountaintop Removal Mining
•        Watershed Protection
•        Financial Literacy for elementary and high school students”</t>
  </si>
  <si>
    <t>institutional
research</t>
  </si>
  <si>
    <t>"The Directorate for Geosciences (GEO) contributes to the IUSE initiative through the Improving Undergraduate STEM Education: Pathways into Geoscience (IUSE: GEOPATHS) funding opportunity. IUSE: GEOPATHS invites proposals that specifically address the current needs and opportunities related to undergraduate education within the geosciences community. The primary goal of the IUSE: GEOPATHS funding opportunity is to increase the number of undergraduate students interested in pursuing undergraduate degrees and/or post-graduate degrees in geoscience through the design and testing of novel approaches for engaging students in authentic, career-relevant experiences in geoscience. In order to broaden participation in the geosciences, engaging undergraduate students from traditionally underrepresented groups or from non-geoscience degree programs is a priority."</t>
  </si>
  <si>
    <t>institutional support</t>
  </si>
  <si>
    <t>variable</t>
  </si>
  <si>
    <t>The Teagle Foundation's grantmaking initiatives aim to strengthen teaching and learning in the arts and sciences and ensure the benefits of a liberal arts education are broadly accessible. "Proposals are welcomed by invitation and typically reflect a collaboration of four to six colleges/universities that exhibit an alignment of priorities and draw participants together as a community of practice. Although partners share goals, their project execution may vary from campus to campus, given their unique contexts."</t>
  </si>
  <si>
    <t>Grants are made to four-year degree-granting institutions; preference is given for support of women in the physical science and engineering fields in which women are the most underrepresented, e.g., physics, computer science, mathematics, electrical engineering, mechanical engineering, etc.</t>
  </si>
  <si>
    <t>Sciences
Engineering</t>
  </si>
  <si>
    <t>"The over-arching goal of this NIBIB-NICHD R25 program is to support educational activities that complement and/or enhance the training of a workforce to meet the nation’s biomedical, behavioral and clinical research needs.  This FOA encourages applications from institutions that propose to establish new or to enhance existing team-based design courses or programs in undergraduate Biomedical Engineering departments or other degree-granting programs with Biomedical Engineering tracks/minors. This FOA mainly targets undergraduate students but may also include first-year graduate students. Courses and programs that address innovative and/or ground-breaking development, multidisciplinary/interdisciplinary education, the regulatory pathway and other issues related to the commercialization of medical devices, and clinical immersion are especially encouraged."</t>
  </si>
  <si>
    <t>$50,000~</t>
  </si>
  <si>
    <t>Also 6/22/18, a date in September and December.  "Each year the National Endowment for Democracy (NED) makes direct grants to hundreds of nongovernmental organizations worldwide working to advance democratic goals and strengthen democratic institutions."
"NED is interested in proposals from local, independent organizations for nonpartisan programs that seek to:
Promote and defend human rights and the rule of law
Support freedom of information and independent media
Strengthen democratic ideas and values
Promote accountability and transparency
Strengthen civil society organizations
Strengthen democratic political processes and institutions
Promote civic education
Support democratic conflict resolution
Promote freedom of association
Strengthen a broad-based market economy"</t>
  </si>
  <si>
    <t>Arts &amp; Humanities
Religion</t>
  </si>
  <si>
    <t>International collaboration</t>
  </si>
  <si>
    <t>&lt;$25,000</t>
  </si>
  <si>
    <t>Applications open in August for last year of the opportunity
Grants "fund the development of new, collaborative, empirical research projects in the social sciences focused on the study of religions around the globe. The central purpose of this program is to foster new, potentially long-term, empirical research collaborations between social science scholars of religion in North America and those in countries beyond the North Atlantic world (i.e., not Canada, the U.S., and Western Europe). Each grant will provide up to $25,000 to be used by the research collaborators for transportation, lodging, communications, meeting expenses, data collection and analysis, the purchase of research materials, and other collaborative research costs. Grant money may not be used for researchers’ salaries, stipends, or teaching reduction. Ten fellowships will be awarded each year on average over the three academic years (2017-2018, 2018-2019, and 2019-2020). The next round of applications are for the 2019-2020 academic year. The Global Religion Research Initiative is funded by the Templeton Religion Trust of Nassau, Bahamas."</t>
  </si>
  <si>
    <t>Major Research Instrumentation - Internal Contact</t>
  </si>
  <si>
    <t>MRI</t>
  </si>
  <si>
    <t>Annual deadline of 2nd Wednesday in January
"The Major Research Instrumentation (MRI) Program serves to increase access to multi-user scientific and engineering instrumentation for research and research training in our Nation's institutions of higher education and not-for-profit scientific/engineering research organizations. An MRI award supports the acquisition or development of a multi-user research instrument that is, in general, too costly and/or not appropriate for support through other NSF programs.
MRI provides support to acquire critical research instrumentation without which advances in fundamental science and engineering research may not otherwise occur. MRI also provides support to develop next-generation research instruments that open new opportunities to advance the frontiers in science and engineering research. Additionally, an MRI award is expected to enhance research training of students who will become the next generation of instrument users, designers and builders."</t>
  </si>
  <si>
    <t>prize</t>
  </si>
  <si>
    <t>"The Hiett Prize in the Humanities is an annual award of $50,000 aimed at identifying candidates who are ascending in a career devoted to the humanities and whose work shows extraordinary promise to have a significant impact on contemporary culture."</t>
  </si>
  <si>
    <t>Entrepreneurship &amp; Leadership</t>
  </si>
  <si>
    <t>program</t>
  </si>
  <si>
    <t>&lt;$10,000</t>
  </si>
  <si>
    <t>"At the Boulware Foundation, we believe that girls &amp; women with equal power can make critical life decisions that benefit themselves, family members and their community. Women are important agents for social change and by investing in them, the impact is exponential." There are six different areas in which funding is allocated. 
Financial Literacy 
Workforce Development
Entrepreneurship 
Microfinance
Leadership Skills
Education"</t>
  </si>
  <si>
    <t>NYC Fund for Girls and Young Women of Color</t>
  </si>
  <si>
    <t xml:space="preserve">Information delivered via email in May
“The New York City Fund For Girls and Young Women of Color (The Fund)* is pleased to release its Fall 2018 Grant Guidelines. The Fund invites applications from organizations that: are led by and for young cis- and trans women of color; advance the collective leadership of young women, transgender and gender-nonconforming (TGNC) youth of color toward broad based change; use strategies of advocacy, community organizing, and long-term active participation in community and civic life; and specifically address systemic causes of racial, gender, and economic disparities faced by young women, transgender, and gender non-conforming (TGNC) youth of color.”  </t>
  </si>
  <si>
    <t>postdoc</t>
  </si>
  <si>
    <t>$47,446/year for two years</t>
  </si>
  <si>
    <t>As part of a continuing commitment to building a culturally diverse intellectual community and advancing scholars from underrepresented groups in higher education, The University of North Carolina at Chapel Hill Carolina Postdoctoral Program for Faculty Diversity is pleased to announce the availability of postdoctoral research appointments for a period of two years. The purpose of the Program is to develop scholars from underrepresented groups for possible tenure track appointments at the University of North Carolina and other research universities. Postdoctoral scholars will be engaged full-time in research and may teach only one course per fiscal year.</t>
  </si>
  <si>
    <t>Program project and center</t>
  </si>
  <si>
    <t xml:space="preserve">"Program project grants represent synergistic research programs that are designed to achieve results not attainable by investigators working independently. The program project grant is organized around a set of closely related projects bearing on a well-defined scientific problem. Normally, a program project grant includes three to five projects, one administrative core and optionally one or more shared research" cores." Deadlines: 1/25/18, 5/25/18, 9/25/18
</t>
  </si>
  <si>
    <t xml:space="preserve">Institutes for Advanced Topics in the Digital Humanities </t>
  </si>
  <si>
    <t>programming</t>
  </si>
  <si>
    <t>"The Institutes for Advanced Topics in the Digital Humanities program supports national or regional (multistate) training programs for scholars, humanities professionals, and advanced graduate students to broaden and extend their knowledge of digital humanities. Through this program NEH seeks to increase the number of humanities scholars and practitioners using digital technology in their research and to broadly disseminate knowledge about advanced technology tools and methodologies relevant to the humanities.
The projects may be a single opportunity or offered multiple times to different audiences. Institutes may be as short as a few days and held at multiple locations or as long as six weeks at a single site. For example, training opportunities could be offered before or after regularly occurring scholarly meetings, during the summer months, or during appropriate times of the academic year. The duration of a program should allow for full and thorough treatment of the topic.
These professional development programs may focus on a particular computational method, such as network or spatial analysis. They may also target the needs of a particular humanities discipline or audience."</t>
  </si>
  <si>
    <t>$2,500-$50,000</t>
  </si>
  <si>
    <t>“The Foundation supports arts and cultural organizations through grants to catalyze collective action, promote equality, contribute to advocacy and policy change and develop capacity for greater civic engagement.  The Foundation is also interested in supporting organizations outside of the arts whose programs seek to engage communities through cultural activities. Through its Art and Social Justice mission the Shelley &amp; Donald Rubin Foundation fosters dialogue, encourages diversity, promotes education, and nurtures and empowers communities. Through an annual grants program the Foundation supports ethical artistic practice that aims to broaden access in the five boroughs of New York City."</t>
  </si>
  <si>
    <t>Humanities Connections Planning Grants</t>
  </si>
  <si>
    <t>"The Humanities Connections grant program seeks to expand the role of the humanities in undergraduate education at two- and four-year institutions. Grants will support innovative curricular approaches that foster productive partnerships among humanities faculty and their counterparts in the social and natural sciences and in pre-service or professional programs (such as business, engineering, health sciences, law, computer science, and other technology-driven fields).
Competitive applications will demonstrate
that the proposed curricular projects address significant and compelling topics or issues in undergraduate education at the applicant institution(s);
that these projects engage the intellectual skills and habits of mind cultivated by the humanities; and that faculty and students will benefit from meaningful collaborations in teaching and learning across disciplines as a result of the project."</t>
  </si>
  <si>
    <t>Humanities Connections Implementation Grants</t>
  </si>
  <si>
    <t>&lt;$100,000</t>
  </si>
  <si>
    <t>"The program supports the study and discussion of important humanities sources about war, in the belief that these sources can help U.S. military veterans and others think more deeply about the issues raised by war and military service. Although the program is primarily designed to reach military veterans, men and women in active service, military families, and interested members of the public may also participate.
The program awards grants of up to $100,000 that will support
the convening of at least two discussion programs for no fewer than fifteen participants; and
the creation of a preparatory program to recruit and train program discussion leaders (NEH Discussion Leaders).
Discussion programs may take place on college and university campuses, in veterans’ centers, at public libraries and museums, and at other community venues."</t>
  </si>
  <si>
    <t xml:space="preserve">Barry Amiel &amp; Norman Melburn Trust Grants </t>
  </si>
  <si>
    <t>Two deadlines annually.  Awards over £6,000 are considered only at the 12/1 deadline.
“The general objectives of the Trust are to advance public education, learning and knowledge in all aspects of
(a) the philosophy of Marxism
(b) the history of socialism, and
(c) the working class movement.”
"In forthcoming rounds, the Trust will aim to ringfence 50% of funds for applications for projects with a strong focus on popular political education and on engagement with non-academic and non-activist audiences, especially those focused on reaching people and communities across the UK who are likely to face barriers to accessing education, learning and knowledge about the philosophy of Marxism, the history of socialism, the working class movement and other social movements seeking to bring about non-exploitative and egalitarian societies. These barriers could include educational, financial, geographical, or political cultural barriers."</t>
  </si>
  <si>
    <r>
      <t xml:space="preserve">8/8/18 and 12/5/18 OTHER DEADELINES 
"The Joyce Foundation is a nonpartisan, private charitable foundation that supports evidence-informed policies to improve quality of life, promote safe and healthy communities, and build a just society for the people of the </t>
    </r>
    <r>
      <rPr>
        <b/>
        <sz val="11"/>
        <rFont val="Calibri"/>
      </rPr>
      <t>Great Lakes region</t>
    </r>
    <r>
      <rPr>
        <sz val="11"/>
        <color rgb="FF000000"/>
        <rFont val="Calibri"/>
      </rPr>
      <t>. Our five program strategies advance five policy areas we see as essential to our mission: Education and Economic Mobility, the Environment, Gun Violence Prevention and Justice Reform, Democracy, and Culture."</t>
    </r>
  </si>
  <si>
    <t>"Over the course of two summers, some 40 young leaders are brought together to explore and discuss important topics of mutual interest. Once selected for the Program, participants gain lifelong access to the unique pool of USJLP talent, connections and opportunities.
To qualify for the 2015-2016 USJLP conferences, candidates must hold U.S. or Japan citizenship, be between the ages of 28 and 42 as of the first day of the 2016 conference (July 16, 2016), and have demonstrated leadership, achievement, or the potential for leadership in their respective fields. USJLP strives to achieve a diverse and balanced class each year, and consideration will be given to proven leaders from a broad spectrum of careers and backgrounds."</t>
  </si>
  <si>
    <t>$2,000-$5,000</t>
  </si>
  <si>
    <t>2/1/18 OTHER DEADLINE
The Northeast Asia Council (NEAC) of the Association for Asian Studies, in conjunction with the Japan-US Friendship Commission, supports a variety of grant programs in Japanese studies designed to facilitate the research of individual scholars, to improve the quality of teaching about Japan on both the college and precollege levels, and to integrate the study of Japan into the major academic disciplines in the United States.</t>
  </si>
  <si>
    <t xml:space="preserve"> R13, U13 Conference Grants and Conference Cooperative Agreements </t>
  </si>
  <si>
    <t>Permission to submit deadline = March 1, 2018 Deadline = April 12, 2018
"The NIH ICs each have different scientific missions, as well as program goals and initiatives that evolve over time. In order to promote the most efficient use of NIH funds towards meeting the mission and program goals of the ICs, each conference grant application is required to contain a permission-to-submit letter from one of the participating ICs (see IC Contact and Special Interests website).
Applicants are urged to initiate contact well in advance of the chosen application receipt date and no later than 6 weeks before that date. 
Applicants should inquire about IC-specific program priorities and policies in regards to conference grants.
Please note that agreement to accept an application does not guarantee funding."</t>
  </si>
  <si>
    <t>“The Advancing Informal STEM Learning (AISL) program seeks to advance new approaches to and evidence-based understanding of the design and development of STEM learning opportunities for the public in informal environments; provide multiple pathways for broadening access to and engagement in STEM learning experiences; advance innovative research on and assessment of STEM learning in informal environments; and engage the public of all ages in learning STEM in informal environments.
The AISL program supports six types of projects: (1) Pilots and Feasibility Studies, (2) Research in Service to Practice, (3) Innovations in Development, (4) Broad Implementation, (5) Literature Reviews, Syntheses, or Meta-Analyses, and (6) Conferences.”</t>
  </si>
  <si>
    <t xml:space="preserve">8/31/18 AND 2/29/19 OTHER DEADLINE
The foundation is looking to fund Programs designed to improve the retention rate of undergraduate women in engineering. These may cover such diverse areas as classroom, climate, learning behaviors, classroom pedagogies and academic and social support programs. It is expected that the programs will examine their impact on SMET achievement. </t>
  </si>
  <si>
    <t>&lt;$6,000</t>
  </si>
  <si>
    <t>"The Tensor Foundation has provided funding to support projects designed to encourage women from middle school, high school, college, or university levels to study and persist in mathematics. On behalf of the Tensor Foundation, the MAA encourages college, university, and secondary mathematics faculty (in conjunction with college or university faculty) and their institutions to submit proposals to the Tensor Women and Mathematics Program. Projects may replicate existing successful projects, adapt components of such projects, or be innovative. "</t>
  </si>
  <si>
    <t>Legal Education Diversity Pipeline Grant Program</t>
  </si>
  <si>
    <t>SocSci
Legal studies</t>
  </si>
  <si>
    <t>"To be considered for funding, a proposal must seek to improve directly access to legal education for historically underrepresented minority students and students from economically disadvantaged backgrounds. Measurement and evaluation are essential components for demonstrating the effectiveness and scalability of interventions, and are key factors when deciding what grants we make. AccessLex Institute also encourages applications from programs that display a collaborative approach and strong partnerships with other organizations to achieve the goal of enhancing access to legal education for students from diverse backgrounds."</t>
  </si>
  <si>
    <t>Grant Programs</t>
  </si>
  <si>
    <t>programming
project</t>
  </si>
  <si>
    <t>"The Botstiber Institute for Austrian-American Studies (BIAAS) seeks grant proposals for projects aimed at promoting an understanding of the historic relationship between the United States and Austria (including Habsburg Austria) in the fields of history, politics, economics, law, cultural studies, and public history. Grants may include support for related lectures, seminars, workshops, conferences, exhibits, publications, podcasts, and documentaries."</t>
  </si>
  <si>
    <t>Grants in Environment and Human Services</t>
  </si>
  <si>
    <t>programming
research</t>
  </si>
  <si>
    <t>4/30/18 OTHER DEADLINE
"The Lawrence Foundation is a private family foundation focused on making grants to support environmental, education, human services and other causes.... The foundation is focused on making grants to support environmental, human services and other causes although our interests are fairly diverse and may lead us into other areas on an occasional basis. We make both program and operating grants."</t>
  </si>
  <si>
    <t>Summer Seminars and Institutes</t>
  </si>
  <si>
    <t>programming
summer</t>
  </si>
  <si>
    <t xml:space="preserve">A draft proposal may be due earlier.  Guidelines should be released two months before the deadline.  "NEH Summer Seminars and Institutes grants support professional development programs in the humanities for school teachers and for college and university faculty. Seminars and institutes may be as short as one week or as long as four weeks.
NEH Summer Seminars and Institutes
provide models of excellent teaching;
provide models of excellent scholarship;
broaden and deepen understanding of the humanities;
focus on the study and teaching of significant topics, texts, and other sources;
contribute to the intellectual vitality of participants; and
build communities of inquiry.
An NEH Summer Seminar or Institute may be hosted by a college, university, learned society, center for advanced study, library or other repository, cultural or professional organization, or school or school system. The host site must be suitable for the project, providing facilities for collegial interaction and scholarship. These programs are designed for a national audience of participants."  </t>
  </si>
  <si>
    <t>Summer Programs in the Humanities for College Educators</t>
  </si>
  <si>
    <t>$1,200-3,300</t>
  </si>
  <si>
    <t>"Each year, NEH offers tuition-free opportunities for school, college, and university educators to study a variety of humanities topics."</t>
  </si>
  <si>
    <t>"The Community of Writers at Squaw Valley in Olympic Valley, CA has generously offered to provide tuition and room-and-board scholarships, valued at $1,565 each, to three Cave Canem fellows who wish to attend the Poetry Workshop June 24-July 1, 2017, and are in need of financial aid."</t>
  </si>
  <si>
    <t>Park City Mathematics Institute Summer Research Session</t>
  </si>
  <si>
    <t xml:space="preserve">No new DEADLINE as of 10.29.18
“Complementing the highly structured Graduate Summer School, which is directed at younger mathematicians, the Research Program in Mathematics addresses the needs of mathematicians who are already carrying out research. The program offers advanced scholars the opportunity to do research, collaborate with their peers, meet outstanding students, and explore new teaching ideas with professional educators.
New and recent PhDs are especially encouraged to apply if they are working in the central field of harmonic analysis or its applications to geometry, partial differential equations, probability, and number theory. Small groups of collaborators from geographically separate areas are also encouraged to apply. The informal format of the Research Program generates lively exchanges of views and information between established and newer researchers.“  </t>
  </si>
  <si>
    <t>USArtists International Program</t>
  </si>
  <si>
    <t>programming
travel</t>
  </si>
  <si>
    <t>"USArtists International supports performances by U.S. artists at important cultural festivals and arts marketplaces around the globe. Committed to the presence of U.S. based artists on world stages, USArtists International provides grants to ensembles and individual performers in dance, music and theatre invited to perform at significant international festivals and performing arts markets."</t>
  </si>
  <si>
    <t>Creative Arts
Music</t>
  </si>
  <si>
    <t>$200/day honorarium plus per diem for food and lodging</t>
  </si>
  <si>
    <t>"American Voices is proud to administer the American Music Abroad program on behalf of the United States Department of State's Bureau of Educational and Cultural Affairs. The American Music Abroad program is designed to communicate America's rich musical contributions to the global music scene as it fosters cross-cultural communication and people-to-people connection to global audiences. Any characteristically American musical genres are welcome to apply in genres including but not limited to: Blues, Bluegrass, Cajun, Country, Folk, Latin, Native American, Gospel, Hip Hop/Urban, Indie Rock, Jazz, Punk, R&amp;B and Zydeco. In cooperation with the U.S. Department of State, American Voices will arrange a series of month-long, multi-country cultural exchange programs including public concerts, interactive performances with local traditional musicians, lecture demonstrations, workshops, jam sessions and media interviews and performances."</t>
  </si>
  <si>
    <t>project</t>
  </si>
  <si>
    <t>"The QM-Jerome Foundation Fellowship Program for Emerging Artists in New York City will award two visual artists fellowships that culminate in exhibitions at the Queens Museum in Spring 2019 and Fall 2019. The fellowship period will include the year leading up to the opening and ending with the closing of their exhibition."</t>
  </si>
  <si>
    <t>Project</t>
  </si>
  <si>
    <t>"The stakes of successful publishing by early career professors are more urgent than ever given the current state of higher education promotion and publishing. Responding to a glaring need in the field, the First Book Institute features workshops and presentations led by institute faculty aimed at assisting participants in transforming their book projects into ones that promise to make the most significant impact possible on the field and thus land them a publishing contract with a top university press.  Eight successful applicants will be awarded $1500 stipends to defray the costs of travel and lodging. 
Applications to the First Book Institute are invited from scholars working in any area or time period of American literary studies who hold a PhD and are in the process of writing their first book."</t>
  </si>
  <si>
    <t>Scholarly Editions and Translations Grants</t>
  </si>
  <si>
    <t>Scholarly Editions and Translations grants support the preparation of editions and translations of pre-existing texts of value to the humanities that are currently inaccessible or available only in inadequate editions or transcriptions. Typically, the texts and documents are significant literary, philosophical, and historical materials; but other types of work, such as musical notation, are also eligible.
Projects must be undertaken by at least one editor or translator and one other collaborating scholar. These grants support full-time or part-time activities for periods of one to three years.</t>
  </si>
  <si>
    <t>travel, room, board</t>
  </si>
  <si>
    <t>"Art Omi has five distinct residency programs. Through a competitive jury process, residents are chosen.... Abundant, catered meals and comfortable, beautiful lodgings are provided in a scenic location in Columbia County, New York. Art Omi is two hours north of New York City by train." "In early November, Art Omi: Writers hosts an annual Translation Lab, in which four English language translators are invited to work alongside the writers whose work they translate. The focused residency provides an integral stage of refinement, allowing translators to dialogue with the writers about text-specific questions. The Translation Lab emphasizes translation as a means towards cultural exchange. The residency is a rare and unique opportunity for writers and their translators to work together, considering that most writers never meet their translators in person. All text-based projects -- fiction, nonfiction, theater, film, poetry, etc. -- are eligible." Travel, room and board are fully funded</t>
  </si>
  <si>
    <t>higher ed</t>
  </si>
  <si>
    <t>Project Grants</t>
  </si>
  <si>
    <t>The Wabash Center understands its grant projects as learning processes. Thus, as in other learning processes, a particular grant will design moments of exploration, discovery, learning, and response for those participating in the grant project. In building a grant project, the project director should think of the presenting pedagogical issue as that which needs exploration and interrogation, and the activities of the grant project as the means by which this exploration is done. The design should have an appropriate scaffold to facilitate learning and critical reflection, with moments of assessment built into the design so changes can be made, if necessary. It should also have a time of evaluative reflection at the end to assess what was learned during the course of the project.</t>
  </si>
  <si>
    <t>"Today, Knight Foundation is opening a call for ideas focused on this issue. It centers around a question:
How might cultural institutions use technology to connect people to the arts?
Through this call for ideas, run through the Knight Prototype Fund, we hope to discover thoughtful approaches for the use of technology in the cultural sector....
Anyone can apply for funding. You don’t have to be associated with a cultural institution or organization. We’re genre-agnostic too. We’d love to see ideas across the performing, literary and visual arts. It’s all part of our arts technology initiative, which aims to help arts institutions better meet changing audience expectations and use digital tools to help people experience the arts"</t>
  </si>
  <si>
    <t>Common Heritage Grants</t>
  </si>
  <si>
    <t>"America’s cultural heritage is preserved not only in libraries, museums, archives, and other community organizations, but also in all of our homes, family histories, and life stories. The Common Heritage program aims to capture this vitally important part of our country’s heritage and preserve it for future generations. Common Heritage will support both the digitization of cultural heritage materials and the organization of outreach through community events that explore and interpret these materials as a window on the community’s history and culture."</t>
  </si>
  <si>
    <t>"Digital Humanities Advancement Grants (DHAG) support digital projects throughout their lifecycles, from early start-up phases through implementation and long-term sustainability. Experimentation, reuse, and extensibility are hallmarks of this grant category, leading to innovative work that can scale to enhance research, teaching, and public programming in the humanities.
This program is offered twice per year. Proposals are welcome for digital initiatives in any area of the humanities.
Through a special partnership, the Institute of Museum and Library Services (IMLS) anticipates providing additional funding to this program to encourage innovative collaborations between museum or library professionals and humanities professionals to advance preservation of, access to, use of, and engagement with digital collections and services."</t>
  </si>
  <si>
    <t>September 1, 2018 , and March 1, 2019 OTHER DEADLINE
“Furthermore grants in publishing, a program of the J. M. Kaplan Fund, supports publication of nonfiction books that concern the arts, history, and the natural and built environment."</t>
  </si>
  <si>
    <t>Pare Lorentz Documentary Fund</t>
  </si>
  <si>
    <t>$15,000-$25,000</t>
  </si>
  <si>
    <t>"The Pare Lorentz Documentary Fund supports full-length documentary films that reflect the spirit and nature of Pare Lorentz's work, exhibiting objective research, artful storytelling, strong visual style, high production values, artistic writing, and outstanding music composition, as well as skillful direction, camerawork and editing."</t>
  </si>
  <si>
    <t>Digital Resources Grant Program</t>
  </si>
  <si>
    <t>4/1/19 OTHER DEADLINE
"The Digital Resources program is intended to foster new forms of research and collaboration as well as new approaches to teaching and learning. Support will also be offered for the digitization of important visual resources (especially art history photographic archives) in the area of pre-modern European art history; of primary textual sources (especially the literary and documentary sources of European art history); for promising initiatives in online publishing; and for innovative experiments in the field of digital art history."</t>
  </si>
  <si>
    <t xml:space="preserve">No new DEADLINE as of 10.30.18
7/12/18 OTHER DEADLINE
"The National Endowment for the Arts is committed to support activities that reflect the dynamic, diverse, and evolving nature of the media arts field. Applicants may apply in this Art Works category for media arts projects that support creation, exhibition, education, and distribution of historic and contemporary artworks in all genres and forms that use electronic media, film and technology (analog &amp; digital; old and new) as an artistic medium or a medium to broaden arts appreciation and awareness (of any discipline). All genres are welcome to apply; all phases of project support are eligible."
Projects eligible for 7/12/18 deadline include creation, education, and resources for artistic and professional development.  
Projects eligible for 2/15/18 deadline include exhibition, presentation, distribution, and preservation activities. </t>
  </si>
  <si>
    <t>$1,000-$10,000</t>
  </si>
  <si>
    <t>"ArtsCONNECT provides funding for mid-Atlantic-based presenters (New Jersey, Delaware, Maryland) working collaboratively to engage a performing artist or ensemble. The program aims to develop and deepen relationships among the region’s presenters, helping build a more sustainable touring environment for artists and ensembles. The supported tours include performances as well as community engagement activities that enhance the performance experience, and offer meaningful exchanges between touring artists and a presenter’s community.
The program provides support for projects in which at least three performing arts presenters from two different states work collaboratively to present a touring solo artist or ensemble. The tours include performances as well as activities such as artist discussions, lecture demonstrations, master classes, and workshops designed to build greater appreciation for the work of the touring artist or ensemble. The program also is designed to develop and deepen relationships among the regions presenters in order to build a more sustainable touring environment for professional performing artists."</t>
  </si>
  <si>
    <t xml:space="preserve">Artist Projects </t>
  </si>
  <si>
    <t>"Grants for Artist Projects (GAP) provide support for artist-generated projects, which can include (but are not limited to) the development, completion or presentation of new work in any discipline."</t>
  </si>
  <si>
    <t>$15,000 to $50,000</t>
  </si>
  <si>
    <t>"The program supports writing about contemporary art and aims to ensure that critical writing remains a valued mode of engaging the visual arts. These grants support projects addressing both general and specialized art audiences, from scholarly studies to self-published blogs."</t>
  </si>
  <si>
    <t>2/15/18 OTHER DEADLINE
"We fund projects only. Projects may consist of one or more specific events or activities. Projects do not have to be new. Excellent existing projects can be just as competitive as new activities. Projects do not need to be big either; we welcome small projects that can make a difference in their community or field....
These grants support artistically excellent projects that celebrate our creativity and cultural heritage, invite mutual respect for differing beliefs and values, and enrich humanity. Matching grants generally range from $10,000 to $100,000. A minimum cost share/match equal to the grant amount is required."</t>
  </si>
  <si>
    <t>$550-$2,500</t>
  </si>
  <si>
    <t>All early determination applications must be in hand.  SATURDAY, DECEMBER 8TH, 2018:
All grants applications must be in hand (sent via the United States postal service only). Not postmarked by December 8th, but delivered to Puffin Foundation West, Ltd. 
"2019 DEDICATED TO THE MEMORY OF “SUDAN,” THE LAST MALE NORTHERN WHITE RHINO...
We’re interested in art projects that educate the public on topical issues that seek to enrich and inform the public on important subjects such as the environment, social justice, civil rights and other contemporary issues facing the country (and the planet), that other organizations might hesitate to fund. You may call this Activist Art. The Foundation also gives special consideration to communities that feel that their children are underserved by the arts. We are NOT driven by a classification of a school being a Title One School."</t>
  </si>
  <si>
    <t>Individual Support Grants</t>
  </si>
  <si>
    <t>"The Foundation wishes to encourage artists who have dedicated their lives to developing their art, regardless of their level of commercial success.
Please note that these grants are available only to mature individual visual artists. The Foundation defines maturity in this case as having worked for 20 years or more in a mature phase of art."</t>
  </si>
  <si>
    <t>&lt;$1,500</t>
  </si>
  <si>
    <t>please check this website after January 1, 2019
"The Arch and Bruce Brown Foundation offers grants to production companies to offset expenses in producing theatrical works (plays, musicals, performance art, operas, choral works, orchestral works with text) and film or video. All works must be LGBTQ-themed and must be based on, or inspired by, history."</t>
  </si>
  <si>
    <t>Exchange Grants</t>
  </si>
  <si>
    <t>Creative Arts
Theater</t>
  </si>
  <si>
    <t>April 2, 2019, OTHER DEADLINE 
"Builds on a prior relationship or deepen an existing relationship, in order to go deeper into a technique or methodology, follow a mutual interest, build a shared work, present a performance, approaches to shared or rotating leadership, training in consensus decision-making, use of non-traditional structures, etc. Exchange Grants are designed to allow lead applicants and partners to take financial risks, to explore something beyond what they are already doing, and/or to more fully capitalize collaborations. Applications are to be written and submitted jointly by two or more partners."</t>
  </si>
  <si>
    <t>Creative Arts
Visual Art</t>
  </si>
  <si>
    <t>"The Pollock-Krasner Foundation's mission is to aid, internationally, those individuals who have worked as artists over a significant period of time.  The Foundation's dual criteria for grants are recognizable artistic merit and financial need, whether professional, personal, or both.... 
The Foundation welcomes, throughout the year, applications from visual artists who are painters, sculptors and artists who work on paper, including printmakers. There are no deadlines. The Foundation encourages applications from artists who have genuine financial needs that are not necessarily catastrophic. Grants are intended for a one-year period of time."
"Organizations whose missions directly impact the individual artist may apply for support of their programs."</t>
  </si>
  <si>
    <t>Gender Studies</t>
  </si>
  <si>
    <t>"The Schlesinger Library invites scholars who are conducting oral history interviews relevant to the history of women or gender in the United States to apply for support of up to $3,000.
This grant stipulates that the interviews take place in accordance with guidelines of the Oral History Association, that consent is obtained from interviewees for their words to be viewed by researchers worldwide, and that true copies or transcripts of the original recording of the oral interviews, as well as copies of the consent forms, be deposited in the Schlesinger Library upon completion."</t>
  </si>
  <si>
    <t>"Magic Grants provide year-long funding awards of up to $150,000 ($300,000 for teams with members of both the Columbia and Stanford communities). In addition to funding, grantees have access to a distinguished advisory and mentoring group, an extensive and inspiring alumni network.
We are looking for hardware, software, and story proposals. We are interested in projects that advance storytelling and journalism through new applications of technology. We also are interested in new tools and technologies that extend media broadly.
Since its founding six years ago, the Brown Institute has funded over 140 people across over 40 projects. Example include…
An open repository for data on the Panamanian government. A hotspot detector for social media feeds, highlighting important stories in a city. A tool to auto-generate rough cuts for documentary videos. A 360-video documentary on the famine in South Sudan. An augmented reality application for enhancing tours though art museums. Experiments with natural and gestural (i.e., not a joystick) interfaces to drones. A platform for helping science journalists better contextualize new research reports."</t>
  </si>
  <si>
    <t>Mellon Fellowships for Digital Publication</t>
  </si>
  <si>
    <t>"Through NEH-Mellon Fellowships for Digital Publication, the National Endowment for the Humanities and The Andrew W. Mellon Foundation jointly support individual scholars pursuing interpretive research projects that require digital expression and digital publication. To be eligible for this special opportunity, an applicant’s plans for digital publication must be essential to the project’s research goals. That is, the project must be conceived as digital because the nature of the research and the topics being addressed demand presentation beyond traditional print publication. Successful projects will likely incorporate visual, audio, and/or other multimedia materials or flexible reading pathways that could not be included in traditionally published books, as well as an active distribution plan."</t>
  </si>
  <si>
    <t>"The PEN America Writing for Justice Fellowship aims to harness the power of writers and writing in bearing witness to the societal consequences of mass incarceration by capturing and sharing the stories of incarcerated individuals, their families, communities, and the wider impact of the criminal justice system.... 
The Writing for Justice Fellowship is open-genre, and proposed projects may include—but are not limited to—fictional stories; works of literary or long-form journalism; theatrical, television or film scripts; memoirs; poetry collections; or multimedia projects. The most competitive applications will demonstrate how the proposed project will engage issues of reform, fuel public debate, crystallize concepts of reform, and facilitate the possibility of societal change."</t>
  </si>
  <si>
    <t>Grants Program</t>
  </si>
  <si>
    <t>"We invest in bold people and transformative ideas in the fields of conservation, education, research, storytelling, and technology. Our goal is to identify, cultivate, and develop the world-changers of today and tomorrow. Our grant recipients are—and have always been—the heart and soul of what we do.
When we award a grant, we're not just funding a project. We are also inviting a scientist, conservationist, educator, or storyteller to join a passionate community of like-minded, global leaders."</t>
  </si>
  <si>
    <t>Summer/Short-Term Research Publication Grants</t>
  </si>
  <si>
    <t>"Summer/Short-Term Research Publication Grants provide support to scholars to prepare research manuscripts for publication and to independent researchers to prepare research for publication. Preference will be given to applicants whose work supports the vision of AAUW: to break through educational and economic barriers so that all women have a fair chance."</t>
  </si>
  <si>
    <t>Investigative Fund</t>
  </si>
  <si>
    <t>"The Puffin Foundation supports investigative journalism in the independent media seeking to highlight voices and stories often excluded or marginalized by mainstream outlets. The foundation‘s commitment to journalism in the public interest allows The Investigative Fund to produce and place in-depth investigative stories in a variety of publications and to support independent reporters."</t>
  </si>
  <si>
    <t>$2,500-$15,000</t>
  </si>
  <si>
    <t>"We don’t limit ourselves to any one issue, rather we search across issues to identify opportunities where innovation is needed to address an urgent challenge.... 
Bold ideas depart from the status-quo and require us to look at a problem and its solution in a new light. Big ideas have a high potential for large-scale impact and sustainable change. Combined, ideas that are big and bold hold the promise of substantively improving the conditions for those in need in new and unheralded ways. 
That doesn’t mean we’re looking for the fantastical or sensational. Even big and bold ideas need to be achievable and informed by relevant facts. Nor are we looking for one single path or “magic” solution. No one idea will solve poverty, income inequality, or hunger. Complex problems require novel approaches that can be scaled to meet the needs of the many. That is what we we’re looking for.... 
A cutting-edge product, an experimental program, a new service, an invention, or an original game are all in our wheelhouse. The idea has to improve on what’s already out there and it has to have the potential for tangible, measurable impact. Ideas that can be replicated, taken to scale, or leverage existing infrastructure are a good fit. We also favor ideas that inspire others, build on partnerships (public and private), and that are inclusive of those they are intended to benefit."</t>
  </si>
  <si>
    <t>May 1, 2019, OTHER DEADLINE
"The Trust for Mutual Understanding awards grants to American nonprofit organizations to support direct exchange in the arts and the environment between professionals from the United States and TMU’s geographic region: the Baltic States; Central Asia; Central, East, Southeast Europe; Mongolia; and Russia.
Priority consideration is given to projects that involve direct, in-depth professional interaction, with the potential for sustained collaboration; that show evidence of professional accomplishment and innovation; and/or that respond to social contexts and engage local communities."</t>
  </si>
  <si>
    <t>"To be eligible for grant funding, projects must focus on Chinese Buddhism from the Song to the Qing dynasties, but research methodologies may vary. Ancillary topics such as Confucianism, Daoism, Chinese history, politics, and so forth may also be addressed.
The Chung-Hwa Institute of Buddhist Studies—an academic wing of Dharma Drum Mountain Foundation—is one of the world's most prestigious Buddhist institutions dedicated to the academic study of Buddhism."</t>
  </si>
  <si>
    <t>up to $25,000 for conferences; $10,000 to $15,000 for workshops and seminars; up to $6,000 for planning meetings</t>
  </si>
  <si>
    <t>ACLS invites proposals in the humanities and related social sciences that adopt an explicitly cross-cultural or comparative perspective. Projects may, for example, compare aspects of Chinese history and culture with those of other nations and civilizations, explore the interaction of these nations and civilizations, or engage in cross-cultural research on the relations among the diverse and dynamic populations of China.</t>
  </si>
  <si>
    <t>No new DEADLINE as of 10.30.18
“The ARSC Research Grants Program is designed to encourage and support scholarship and publication by individuals in the field of sound recordings or audio preservation. Specific projects eligible for support include discography, bibliography, historical studies of the sound recording industry and its products, and any other subject likely to increase the public's understanding and appreciation of the lasting importance of recorded sound. ARSC encourages applications from individuals whose research forms part of an academic program at the master's or doctoral level.”</t>
  </si>
  <si>
    <t>National Leadership Grants for Libraries</t>
  </si>
  <si>
    <t>National Leadership Grants for Libraries (NLG-L) support projects that address significant challenges and opportunities facing the library and archives fields and that have the potential to advance theory and practice. Successful proposals will generate results such as new tools, research findings, models, services, practices, or alliances that will be widely used, adapted, scaled, or replicated to extend the benefits of federal investment.</t>
  </si>
  <si>
    <t>$300,000 plus</t>
  </si>
  <si>
    <t>"This solicitation supports fundamental research to realize the promise of disruptive transformations in public health, medicine and healthcare. These transformations will require well-coordinated, multi-disciplinary approaches that complements the long-standing disease and application-focused research efforts with fundamental, innovative, and high-risk research that draws from multiple domains of computer and information science, engineering, and the social, behavioral and economic sciences. Proposals can address computational, algorithmic, real-time and systemic level issues, as well as models of uptake, diffusion, and use of the resulting solutions amongst different demographic and social groups. Research can also explore advances in science in remote or unconventional settings, the role of appropriate incentives, the risk of potential disparities, and the associated legal and ethical considerations. Accordingly, this interagency solicitation represents the collaboration of NSF and the NIH.
The work to be funded by this solicitation must make fundamental contributions to two or more disciplines, such as computer or information sciences, engineering, social, behavioral, cognitive and/or economic sciences and address a key health problem."</t>
  </si>
  <si>
    <t>Creative Nonfiction Grant</t>
  </si>
  <si>
    <t>Writing</t>
  </si>
  <si>
    <t>Do not accept unsolicited applications.  They have invited Barnard to submit in the past in March. 
"The Whiting Creative Nonfiction Grant of $40,000 is awarded to writers in the process of completing a book of deeply researched and imaginatively composed nonfiction. The Whiting Foundation recognizes that these works are essential to our culture, but come into being at great cost to writers in time and resources. The grant is intended to encourage original and ambitious projects by giving recipients the additional means to do exacting research and devote time to composition."</t>
  </si>
  <si>
    <t>History of Art Grants Program</t>
  </si>
  <si>
    <t>Project
Dissemination</t>
  </si>
  <si>
    <t xml:space="preserve">“The History of Art program supports scholarly projects that will enhance the appreciation and understanding of European art and architecture. Grants are awarded to projects that create and disseminate specialized knowledge, including archival projects, development and dissemination of scholarly databases, documentation projects, museum exhibitions and publications, photographic campaigns, scholarly catalogues and publications, and technical and scientific studies.
Grants are also awarded for activities that permit art historians to share their expertise through international exchanges, professional meetings, conferences, symposia, consultations, the presentation of research, and other professional events.”  </t>
  </si>
  <si>
    <t>Community Recognition Grants</t>
  </si>
  <si>
    <t>project
program</t>
  </si>
  <si>
    <t>&lt;$2,000</t>
  </si>
  <si>
    <t>"The American Chemical Society recognizes activities at the community level and provides grants to support programs that advance the public’s understanding of chemistry."</t>
  </si>
  <si>
    <t>project
research</t>
  </si>
  <si>
    <t>"The Roddenberry Fellowship is a new 12-month program for activists from across the country who are working to protect the most vulnerable and to make the US a more inclusive and equitable place to live. Twenty Fellows will be selected to receive $50,000 each, as well as tailored support, to help implement a project or initiative in one of four areas:
Civil Rights
Climate Change and Environmental Justice
Immigration and Refugee Rights
LGBTQIA and Women’s Rights
The Foundation does not aim to dictate how Fellows plan to bring about change on a chosen issue. It’s up to each Fellow, but we are interested in impact. Increasing one’s Twitter following or getting 1,000 likes is not, in and of itself, considered impactful. We also favor innovative approaches: projects that push boundaries, are cross-sectoral, challenge tradition, seek new ways of approaching systemic and entrenched problems, or leverage specific (timely) opportunities in unconventional ways."</t>
  </si>
  <si>
    <t xml:space="preserve">“Our aim is to invest in innovative projects that can have measurable impact and can create meaningful, transformative change.” Program areas include education, democracy, higher education and research in Africa, and international peace and security.  </t>
  </si>
  <si>
    <t>project 
research</t>
  </si>
  <si>
    <t>"One organization in each of the four issue areas—food waste, plant-rich diets, girl’s education, and women’s rights—will receive $250,000 in recognition of their impact to date and their plans to scale.
There will be two rounds of scoring assessment. During Peer-to-Peer Review, all applicants will use the scoring rubric to score and comment on at least five applications within their selected category. Everyone who submits a valid application will have the opportunity to give and receive valuable feedback, creating space to further develop your proposed efforts and strengthen this work all over the world.
Those applicants invited to the second round will receive scores and comments from our panel of expert judges."</t>
  </si>
  <si>
    <t>project funding</t>
  </si>
  <si>
    <t>No new DEADLINE as of 10.30.18
The Institute for Religion, Culture, and Public Life supports academic research, teaching, and scholarship. The Institute seeks proposals from Columbia University faculty for programs that aim to understand the role of religion in the contemporary world and its historical roots. Joint Project funding may be applied to seminars, conferences, events, research, teaching, and other joint projects that bring together an interdisciplinary group of scholars.</t>
  </si>
  <si>
    <t>project or general</t>
  </si>
  <si>
    <t>&lt;$20,000</t>
  </si>
  <si>
    <t>"Each year, SQS members award one or more grants to advance programming and services that directly benefit LGBTQ New Yorkers....
This grant cycle seeks to assist an LGBTQ organization or project in amplifying the voices of the most marginalized including, but not limited to, gender nonconforming, immigrants, low income, youth, transgender, people with disabilities, and communities of color. We seek to fund an organization or project that may help build and educate the community, address economic challenges, increase awareness and empathy across communities, increase empowerment and engagement within marginalized communities, or strengthen intersectional work within the LGBTQ community. "</t>
  </si>
  <si>
    <t>Barbara Deming Memorial Fund</t>
  </si>
  <si>
    <t>project, including pubilcation</t>
  </si>
  <si>
    <t>$500-$1,500</t>
  </si>
  <si>
    <t>"Small artist support grants ($500 - $1500 ) to individual feminist women in the arts." ... "We are interested in [f]unding projects which you have begun or which are well underway, and for which you have substantial work to show. We request that the majority of your submitted materials be related to and part of this project."</t>
  </si>
  <si>
    <t>project, programming</t>
  </si>
  <si>
    <t>&lt;$5,000</t>
  </si>
  <si>
    <t>OTHER DEADLINES-- October 1, 2018, February 1, 2019, June 1, 2019
"Up to $5,000 to produce public-facing humanities projects that encourage audiences to reflect on their values, explore new ideas, and engage with others across New York State. These grants require organizations to demonstrate a match of at least one-to-one. These grants aim to:
Connect audiences more deeply to the communities where they live and work.
Solidify community partnerships and diversify audiences.
Creatively employ the tools of the humanities to respond to issues and ideas capturing the imagination and passion of New Yorkers today."</t>
  </si>
  <si>
    <t>"Quick Grants of $500 are now available for in-person public humanities program​s​. These matching grants are ​intended for small and volunteer-run organizations. Proposals ​will be accepted on a rolling basis while funds last."</t>
  </si>
  <si>
    <t>Vision Grants are "Up to $1,500 in support of brainstorming, researching, and professional development for organizations working collaboratively to develop new ideas and program strategies. These grants aim to:
--Support emerging and established partnerships between different groups on a shared project that may develop into public-facing activities.
--Infuse program design with humanities themes and methodologies from the start.
--Encourage experimentation in program design.
--Build community input into program design."</t>
  </si>
  <si>
    <t>Bee Partnership</t>
  </si>
  <si>
    <t>project? programming?</t>
  </si>
  <si>
    <t>"The Sponsor-A-Hive program provides honey bees, mason bees and/or leafcutter bees, their homes, bee keeping equipment and information on how to care for the bees.  Bees are strategically placed in locations where they can bolster bee populations, advance science and environmental education and pollinate locally grown food.  
Also provided is our Sponsor-A-Hive Teacher’s Kit, which is full of lesson plans and worksheets to teach students more about their bee home. It’s designed to build reading and science skills, raise environmental awareness, and empower students to help the bees."</t>
  </si>
  <si>
    <t>n/a</t>
  </si>
  <si>
    <t>Project/Award</t>
  </si>
  <si>
    <t>up to $20,000</t>
  </si>
  <si>
    <t>“Truth Initiative is America’s largest non-profit public health organization dedicated to making tobacco use a thing of the past. We speak, seek and spread the truth about tobacco through education, tobacco-control research and policy studies, community activism and engagement, and innovation in tobacco dependence treatment.’ “To keep the momentum going, Truth Initiative is accepting applications for its Tobacco-Free College Program, which now offers grants of up to $20,000 to women’s colleges, minority-serving academic institutions and community colleges to adopt a 100 percent tobacco-free college policy.”</t>
  </si>
  <si>
    <t>Project/Dissemination</t>
  </si>
  <si>
    <t>1/15/19, 4/1/18, 10/1/18 OTHER DEADLINES
"The Conservation program supports the professional practice of art conservation, especially as it relates to European art of the pre-modern era. Grants are awarded to projects that create and disseminate specialized knowledge, including archival projects, development and dissemination of scholarly databases, documentation projects, exhibitions and publications focusing on art conservation, scholarly publications, and technical and scientifi c studies.
Grants are also awarded for activities that permit conservators and conservation scientists to share their expertise with both professional colleagues and a broad audience through international exchanges, professional meetings, conferences, symposia, consultations, the presentation of research, exhibitions that include a prominent focus on materials and techniques, and other professional events."</t>
  </si>
  <si>
    <t>Education
Sciences</t>
  </si>
  <si>
    <t>projects</t>
  </si>
  <si>
    <t xml:space="preserve">“ITEST is a research and development program that supports projects to promote PreK-12 student interests and capacities to participate in the STEM and information and communications technology (ICT) workforce of the future. The ITEST program supports research on the design, development, implementation, and selective spread of innovative strategies for engaging students in technology-rich experiences that: (1) increase student awareness of STEM occupations; (2) motivate students to pursue appropriate education pathways to STEM occupations; or (3) develop disciplinary-based knowledge and practices, or promote critical thinking, reasoning skills, or communication skills needed for entering STEM workforce sectors.  ITEST projects may adopt an interdisciplinary focus that includes multiple STEM disciplines, focus on a single discipline, or focus on one or more sub-disciplines.  The ITEST program supports projects that provide evidence for factors, instructional designs, and practices in formal and informal learning environments that broaden participation of students from underrepresented groups in STEM fields and related education and workforce domains. Projects that actively engage business and industry partners to better ensure that PreK-12 experiences foster the knowledge and skill-sets needed for emerging STEM occupations are strongly encouraged.”  </t>
  </si>
  <si>
    <t>Projects, public engagement</t>
  </si>
  <si>
    <t>"This category supports focused, distinct projects that take place over limited periods of time and involve limited geographic areas. Such projects generally are smaller in scale and shorter in duration than those in the Art Works category.
All projects must extend the reach of the arts to populations that have limited access to the arts due to geography, ethnicity, economics, or disability. The involvement of experienced artists and arts professionals is essential. Each applicant must present a straightforward project that reflects only one of the three project types below. Grants are available only for:
Guest Artist project type, which refers to an arts event or events that will feature one or more guest artists...
Cultural Tourism, specifically the unified promotion of community-wide arts activities and/or the development of cultural tourism products to enhance public engagement with arts and culture in communities and in cultural districts...
Art Projects, community-based and professionally directed..."</t>
  </si>
  <si>
    <t>$25,000-$200,000</t>
  </si>
  <si>
    <t>SF-424 due to grants.gov on 8/9/18 
"Organizations may apply for creative placemaking projects that contribute to the livability of communities and through strategies that leverage arts, culture, and/or design toward achieving community goals. Our Town offers support for projects in two areas:
• Arts Engagement, Cultural Planning, and Design Projects that represent the distinct character and quality of their communities. These projects require a partnership between a nonprofit organization and a local government entity, with one of the partners being a cultural organization. Matching grants range from $25,000 to $200,000.
• Projects that Build Knowledge About Creative Placemaking. These projects are available to arts and design service organizations, and industry, policy, or university organizations that provide technical assistance to those doing place-based work."</t>
  </si>
  <si>
    <t>publication</t>
  </si>
  <si>
    <t>OTHER DEADLINE:  March 15 and September 15, 2018
Grants to "support book-length scholarly manuscripts in the history of art, visual studies, and related subjects that have been accepted by a publisher on their merits, but cannot be published in the most desirable form without a subsidy. Thanks to the generous bequest of the late Prof. Millard Meiss, CAA began awarding these publishing grants in 1975.
Books eligible for a Meiss grant must currently be under contract with a publisher and be on a subject in the arts or art history."</t>
  </si>
  <si>
    <t>"For this grant program, “American art” is defined as art created in the United States, Canada, and Mexico. Eligible for the grant are book-length scholarly manuscripts in the history of American art, visual studies, and related subjects that have been accepted by a publisher on their merits but cannot be published in the most desirable form without a subsidy."</t>
  </si>
  <si>
    <t>Publication</t>
  </si>
  <si>
    <t>3/1/18 OTHER DEADLINE
"funds publication preparation, or research leading to publication, undertaken by professional members of the AIA. Its purpose is to assist scholars in preparing, completing and publishing results of their research in Graeco-Roman Art and Architecture, and the broader Mediterranean world of Classical antiquity. Awards may be used for research leading to the publication of an art historical monograph or for costs associated with publication, such as image licensing."</t>
  </si>
  <si>
    <t>3/2/18 OTHER DEADLINE
"This program offers subventions from the AIA’s von Bothmer Publication Fund in support of new book-length publications in the field of Classical Archaeology (defined as Greek, Roman, and Etruscan archaeology and art history). Particularly welcome are projects that publish the work of first-time authors or represent the publication of final reports of primary data from sites already excavated or surveyed, but are still unpublished."</t>
  </si>
  <si>
    <t>research</t>
  </si>
  <si>
    <t>PREFERRED DEADLINE IS October 1, 2018
"THE SCHOOL OF HISTORICAL STUDIES supports scholarship in all fields of historical research, but is concerned principally with the history of western, near eastern and Asian civilizations, with particular emphasis upon Greek and Roman civilization, the history of Europe (medieval, early modern, and modern), the Islamic world, East Asian studies, art history, the history of science and philosophy and modern international relations. The School also offers the Edward T. Cone Membership in Music Studies. Each year the School welcomes approximately forty Members selected on the basis of both external and internal review. Most are working on topics in the above mentioned fields, but each year the School also selects some scholars working in other areas of historical research."</t>
  </si>
  <si>
    <t>Scholar's Grant</t>
  </si>
  <si>
    <t>$1,500-$3,500</t>
  </si>
  <si>
    <t>"The CHNY Scholar’s Grant promotes research and scholarship in the field of culinary history and is awarded annually to individuals seeking financial support for a current, well-developed project that will culminate in a book, article, paper, film, or other scholarly endeavor, including ephemera. The grants are unrestricted and can be used to defray research expenses, attend conferences, or engage in other activities related to the applicant’s project."</t>
  </si>
  <si>
    <t>Area Studies
Arts &amp; Humanities</t>
  </si>
  <si>
    <t>The Harriman Institute seeks to support the faculty and associated faculty of the institute through a number of research funding opportunities, including the Harriman curriculum development grant, the Russian studies research grant, the PepsiCo fellowships for research travel/study, Tymkiw Ukrainian Fellowships, and faculty publication grants.</t>
  </si>
  <si>
    <t>art history</t>
  </si>
  <si>
    <t>pre/post doc</t>
  </si>
  <si>
    <t>$60.000/yr</t>
  </si>
  <si>
    <t>"The Thoma Foundation is now accepting applications for the inaugural Marilynn Thoma Fellowship in Spanish Colonial Art! The Marilynn Thoma Fellowship provides unrestricted funding in the amounts of $45,000 for pre-doctoral dissertation research and $60,000 for post-doctoral research, and is the first portable, unrestricted fellowship devoted exclusively to Spanish Colonial art. International scholars are encouraged to apply."</t>
  </si>
  <si>
    <t xml:space="preserve">Public Scholar Program </t>
  </si>
  <si>
    <t>General Research Grants</t>
  </si>
  <si>
    <t>"The focus of promotion is on the historical humanities, and in particular the support of research projects in the disciplines of archeology, historical science, historical Islamic studies, art history, legal history, prehistory and history of science .
In the area of ​​general research funding, it is possible to apply for research projects and  research fellowships . An application is possible regardless of the nationality of the applicant and the place of employment."</t>
  </si>
  <si>
    <t>Documenting Endangered Languages</t>
  </si>
  <si>
    <t>"This funding partnership between the National Science Foundation (NSF) and the National Endowment for the Humanities (NEH) supports projects to develop and advance knowledge concerning endangered human languages. Made urgent by the imminent death of roughly half of the approximately 7000 currently used languages, this effort aims to exploit advances in information technology to build computational infrastructure for endangered language research. The program supports projects that contribute to data management and archiving, and to the development of the next generation of researchers. Funding can support fieldwork and other activities relevant to the digital recording, documenting, and archiving of endangered languages, including the preparation of lexicons, grammars, text samples, and databases. Funding will be available in the form of one- to three-year senior research grants as well as fellowships from six to twelve months."</t>
  </si>
  <si>
    <t>"With funding generously provided by The Recording Academy, the GRAMMY Museum Grants Program awards grants each year to organizations and individuals to support efforts that advance the archiving and preservation of the music and recorded sound heritage of North America, and research projects related to the impact of music on the human condition.
Grant funds have been utilized to preserve private collections as well as materials at the Library of Congress, the Smithsonian and numerous colleges and universities. Research projects have studied the links between music and early childhood education, treatments for illnesses and injuries common to musicians, and the impact of music therapy on populations from infants to the elderly. Over $7 million in grants have been awarded to nearly 400 recipients."</t>
  </si>
  <si>
    <t>"The John F. Kennedy Library Foundation provides funds to scholars and students interested in researching the Ernest Hemingway Collection. The grants (up to $5,000) are intended to help defray travel, living, and other research expenses. Grant applications are evaluated on the basis of expected utilization of the Collection, the proposed project’s contributions to Hemingway and/or related studies, and the applicant’s qualifications."</t>
  </si>
  <si>
    <t>Research: Art Works</t>
  </si>
  <si>
    <t>$10,000-$100,000</t>
  </si>
  <si>
    <t>"Research: Art Works offers support for projects in two areas:
Track One: Value and Impact. These are matching grants ranging from $10,000-$30,000 for research projects that aim to examine the value and/or impact of the arts in any topic area(s) by using data and methods appropriate to the proposed research questions. Projects relying primarily on experimental/quasi-experimental design methods should apply to Track Two.
Track Two: Experimental and Quasi-Experimental Designs. These are matching grants ranging from $30,000-$100,000 for research projects that aim to test the causal or inferred-causal impact of the arts on individual or cohort outcomes by using experimental or quasi-experimental design methods appropriate to the proposed research questions. This Track is only for projects relying primarily on experimental or quasi-experimental research methods. Projects that do not use experimental or quasi-experimental research methods will considered ineligible if submitted under this track."</t>
  </si>
  <si>
    <t>William T. Grant Scholars Program</t>
  </si>
  <si>
    <t>education</t>
  </si>
  <si>
    <t>$350,000/ 5 years</t>
  </si>
  <si>
    <t>"The William T. Grant Scholars Program supports career development for promising early-career researchers. The program funds five-year research and mentoring plans that significantly expand junior researchers’ expertise in new disciplines, methods, and content areas. We recognize that early-career researchers are rarely given incentives or support to take such risks, so this award includes a mentoring component, as well as an emphasis on community and collaboration.... We fund research that increases understanding in one of our two focus areas: programs, policies, and practices that reduce inequality in youth outcomes, and strategies to improve the use of research evidence in ways that benefit youth. We seek research that builds stronger theory and empirical evidence in these two areas. We intend for the research we support to inform change. While we do not expect that any one study will create that change, the research should contribute to a body of useful knowledge to improve the lives of young people." "This career development program supports promising early-career researchers with interests in reducing inequality or understanding the use of research evidence."</t>
  </si>
  <si>
    <t>Small Research Grant</t>
  </si>
  <si>
    <t>&lt;$50,000</t>
  </si>
  <si>
    <t>August 1 and November 1, 2018, February 1 and May 1, 2019 OTHER DEADLINES
"The Foundation is intended, by Spencer's direction, to investigate ways in which education, broadly conceived, can be improved around the world. From the first, the Foundation has been dedicated to the belief that research is necessary to the improvement in education. The Foundation is thus committed to supporting high-quality investigation of education through its research programs and to strengthening and renewing the educational research community through its fellowship and training programs and related activities"
Small Research Grants "support smaller scale or pilot research projects that have budgets of $50,000 or less. Proposals are encouraged from scholars across a variety of disciplines in an effort to fund field-initiated education research.”</t>
  </si>
  <si>
    <t>Lyle Spencer Research Awards</t>
  </si>
  <si>
    <t>$100,000-$1,000,000</t>
  </si>
  <si>
    <t>"The Foundation is intended, by Spencer's direction, to investigate ways in which education, broadly conceived, can be improved around the world. From the first, the Foundation has been dedicated to the belief that research is necessary to the improvement in education. The Foundation is thus committed to supporting high-quality investigation of education through its research programs and to strengthening and renewing the educational research community through its fellowship and training programs and related activities"
The Lyle Spencer Research Awards “support intellectually ambitious, large-scale education research projects with budgets between $100,000 and $1,000,000. This program encourages proposals initiated by scholars across a variety of disciplines and fields in an effort to create much-needed space for creative and ambitious research projects that promise to advance our understanding of educational practice and its improvement.”</t>
  </si>
  <si>
    <t>up to $35,000</t>
  </si>
  <si>
    <t>"With support from the National Science Foundation (NSF), the AERA Grants Program announces its Research Grants competition. The program seeks to stimulate research on U.S. education issues using data from the large-­scale, national and international data sets supported by the National Center for Education Statistics (NCES), NSF, and other federal agencies, and to increase the number of education researchers using these data sets. The program supports research projects that are quantitative in nature, include the analysis of existing data from NCES, NSF or other federal agencies, and have U.S. education policy relevance."</t>
  </si>
  <si>
    <t>Research</t>
  </si>
  <si>
    <t>$70,000/yr</t>
  </si>
  <si>
    <t>"The postdoctoral fellowship was established in 1986 by the NAEd with a grant from the Spencer Foundation. The fellowship program is intended to support early-career scholars working in critical areas of education research. To that end, the NAEd seeks to fund proposals that promise to make significant scholarly contributions to the field of education and to advance the careers of the recipients."</t>
  </si>
  <si>
    <t>"The purpose of this grant is to support and encourage classroom-based research in precollege mathematics education in collaboration with college or university mathematics educators. For 2018-19, grants with a maximum of $6,000 each will be awarded to mathematics educators or classroom teachers* currently teaching mathematics at the grades Pre-K-6 level. The research must be a collaborative effort involving a college or university mathematics educator (a mathematics education researcher or a teacher of mathematics learning, teaching, or curriculum) and one or more grades Pre-K-6 classroom teachers."</t>
  </si>
  <si>
    <t>Research Grants</t>
  </si>
  <si>
    <t>The Center will make awards of up to $40,000 for research projects in philosophy as it relates to educational policy and practice. We encourage applicants to understand educational policy and practice in broad terms, including issues that directly relate to K-12 schools and higher education institutions, but also concerning policies that influence children’s growth and development in the family and other institutions. We also encourage diverse kinds of philosophical research ranging from the highly abstract to the highly applied.</t>
  </si>
  <si>
    <t>Education
Cognitive Science</t>
  </si>
  <si>
    <t>&lt;$2,500,000/5 years</t>
  </si>
  <si>
    <t>NEXT GRANT CYCLE IS 2019, not updates as of 10/8/18
"The Teachers as Learners (TAL) program will emphasize a cognitive science perspective on teachers as learners – including a focus on the cognitive constraints that guide teacher thinking and change in attitudes, knowledge, skills and behaviors. We need to know what aspects of cognition (e.g., memory, knowledge, goals, expertise, collaboration) help explain teachers’ learning and change, particularly as it relates to adopting evidence-based practices in classroom contexts.
Understanding teachers as learners in the context of the many influences on teacher change across career trajectories is an important but understudied area of translational research with the opportunity for impact on both research and educational practice.  Understanding teachers as learners from a cognitive science perspective would advance the implementation of policies aimed at evidence-based reforms. We acknowledge that teaching occurs in a complex context and we want to situate the work in that context, but the focus of this program is on studying the cognitive dimensions of teacher learning as it takes place within these rich socio-cultural and institutional contexts, rather than the contexts themselves. A survey of the current landscape reveals that there is significant focus on small­scale experimental work on student cognition and on descriptive work on teaching – but the lack of a cognitive science framework for how teachers learn to process, evaluate, and improve their use of evidence­based practices within a complex, dynamic system."</t>
  </si>
  <si>
    <t>dn</t>
  </si>
  <si>
    <t>$20,000-$100,000</t>
  </si>
  <si>
    <t>"Environment and species conservation and blindness-related services and research. Additional discretionary grants may be made to specific organizations and program areas that were of interest to Mrs. de Coizart." "Annual distributions from the Trust are managed by JP Morgan Chase Bank and Mr. Richard Bartholomae."</t>
  </si>
  <si>
    <t>"The Schlesinger Library invites scholars and other serious researchers at any career stage beyond graduate school to apply for support for their work in our collections. Grants of up to $3,000 will be given on a competitive basis. Applicants must have a doctoral degree or equivalent research and writing experience. Priority will be given to those who have demonstrated research productivity and whose projects require use of materials available only at the Schlesinger Library. The awards may be used to cover travel and living expenses, photocopies or other reproductions, and other incidental research expenses, but not for the purchase of equipment or travel to other sites for research."</t>
  </si>
  <si>
    <t>Research and Experimentation Grant Program</t>
  </si>
  <si>
    <t>"Areas of interest to the Fund are: studies to develop,
refine, evaluate, or disseminate innovative interventions designed to prevent or
ameliorate major social, psychological, behavioral or public health problems affecting children, adults, couples, families, or communities, or studies that have the potential for adding significantly to knowledge about such problems."</t>
  </si>
  <si>
    <t>$750,000-$1,500,000 or $1,500,001-$3,000,000 / 3-5 years</t>
  </si>
  <si>
    <t>Letter of Intent due 4/16
"The Future of Work at the Human-Technology Frontier (FW-HTF) is one of 10 new and far-sighted Big Ideas for Future Investments announced by NSF in 2016. NSF aims to respond to the challenges and opportunities of the changing landscape of jobs and work by supporting convergent research to: understand and develop the human-technology partnership; design new technologies to augment human performance; illuminate the emerging socio-technological landscape and understand the risks and benefits of new technologies; and foster lifelong and pervasive learning with technology. In order to be nimble and responsive to new opportunities and challenges as they are recognized, focus areas for the FW-HTF solicitation, the centerpiece of the FW-HTF Big Idea, may change from year to year."</t>
  </si>
  <si>
    <t>5/2/18 and 1/10/18 OTHER DEADLINE
"Today, we support high-quality research that is relevant to policies and practices that affect the lives of young people ages 5 to 25 in the United States.
We fund research that increases understanding in one of our two focus areas:
programs, policies, and practices that reduce inequality in youth outcomes, and
strategies to improve the use of research evidence in ways that benefit youth.
We seek research that builds stronger theory and empirical evidence in these two areas. We intend for the research we support to inform change. While we do not expect that any one study will create that change, the research should contribute to a body of useful knowledge to improve the lives of young people."</t>
  </si>
  <si>
    <t>"The Foundation's programs encompass five regions: the Domestic Region, the American Region, the European Region, the Asia-Pacific Region, and Developing Regions. Programs in the Domestic and American Regions commenced in 1989, followed shortly by the European Region in 1990 and the Asia-Pacific Region in 1991. The Developing Regions program commenced in 2015. "</t>
  </si>
  <si>
    <t>Grants-in-Aid for Research</t>
  </si>
  <si>
    <t>"The Rockefeller Archive Center's competitive research stipend program provides awards of up to $5000 for reimbursement of receipted expenses for travel and accommodation in conjunction with research conducted at the RAC. The research stipends are designed to foster, promote, and support research by serious scholars in the collections located at the Rockefeller Archive Center."</t>
  </si>
  <si>
    <t>7/15/19 OTHER DEADLINE
"The Leakey Foundation exclusively funds research related specifically to human origins. Priority of funding is commonly given to exploratory phases of promising new research projects that meet the stated purpose of the Foundation."</t>
  </si>
  <si>
    <t>“This grant supports communication research that enhances urban social interaction and civic engagement in an age of global communication. It encourages applied research on the role of human communication in urban environments at a time when media technologies alter the parameters of community of all kinds….
With an award of up to $2,500, this grant facilitates research in progress or in the planning stages. It gives priority to projects that feature innovation and creative approaches to studying the central role of human communication in the transformation of urban cultures and communities. Proposals from developing nations are encouraged.”</t>
  </si>
  <si>
    <t>$10,000-$60,000</t>
  </si>
  <si>
    <t>"Awards...may be used for research, including field studies, and related expenses, including travel (where appropriate) and living costs over the period covered by the Landes Grant. Senior scholars may request stipends based on their previous year’s salary and professional standing. Applications for multiyear grants will be considered."
"Funding preference will be given to research proposals on the specific subjects reflected in the Ruth Landes Bibliography....Dr. Landes conducted fieldwork among Afro-Brazilians, African-Americans in the United States of America, and American Indians, including the Ojibwa, Potawatomi, and Sioux. She worked in Canada, Brazil, England, Scotland, South Africa, Spain, Switzerland and in the U.S.A. Her research topics included, but were not limited to, aging, gender and sexuality, race and ethnicity, immigrant and minority populations, culture and education, language and identity, and religion."</t>
  </si>
  <si>
    <t>History</t>
  </si>
  <si>
    <t xml:space="preserve">"Funds are available to a limit, in any one calendar year, of £2000 in the form of Grants towards the cost of research projects proposed to be undertaken. However, it would be very exceptional for the entire sum to be granted/awarded to a single project or piece of research.
Applications will be considered from any person or group, whether members of the Tools and Trades History Society or not.
Proposed projects and completed work submitted for consideration will be assessed by the Executive Trustees regarding:
Originality of the work and the extent to which it advances the Society's objective.Suitability for publication, either as written material or as a visual/aural record, under the auspices of the Society, or elsewhere with the acknowledgement of the Society's assistance….
Potential Applicants should be aware that submissions received in the early part of the year will be more likely of success in getting a Grant/Award that year, than those which arrive later, when other budgetary processes may have imposed funding constraints.” </t>
  </si>
  <si>
    <t>Research Grant</t>
  </si>
  <si>
    <t>No new DEADLINE as of 10.30.18
"The American Institute for Maghrib Studies (AIMS) announces its annual Grants Program for the academic year beginning in May 2018. The program offers grants to U.S. scholars interested in conducting research on North Africa in any Maghrib country, specifically Algeria, Mauritania, Morocco, or Tunisia. AIMS sponsors three Overseas Research Centers in the region in Oran, Tunis and Tangier and has other institutional affiliations that support AIMS scholars. AIMS only funds primary research conducted in the Maghrib.”</t>
  </si>
  <si>
    <t>$1,500-$5,000</t>
  </si>
  <si>
    <t>2/1/18 OTHER DEADLINE
The Northeast Asia Council of the Association for Asian Studies (NEAC), in conjunction with the Korea Foundation, offers a grant program in Korean studies designed to assist the research of individual scholars based in North America to improve the quality of teaching about Korea on both the college and precollege levels, and to integrate the study of Korea into the major academic disciplines.</t>
  </si>
  <si>
    <t>up to $5000</t>
  </si>
  <si>
    <t>"The foundation offers small grants of up to $5000 to support projects in modern Chinese economic, social and political history or archaeology.
In most cases, grants will be used to support travel to China for a month or two of research or field work.  They may also be used to supplement other funding for research in China or Taiwan, when the alternative funding restricts research in one of those areas. Grants may also be used to develop the research skills of grantees, including the skill and capacity to conduct independent research in archives, libraries, and research sites in Asia and in Chinese language sources. Grants are available for graduate students and untenured faculty for projects on modern Chinese history and for undergraduate and graduate students as well as untenured faculty in archaeology"
"Applicant must be a graduate student or untenured faculty member conducting research on modern Chinese history at a university or college; or an advanced undergraduate, graduate student, or untenured faculty at a university or college program studying Chinese archaeology."</t>
  </si>
  <si>
    <t>Venetian Research Program for Individual Scholars</t>
  </si>
  <si>
    <t>"The Foundation awards travel grants to individual scholars to support historical research on Venice and the former Venetian empire, and for the study of contemporary Venetian society and culture. Disciplines of the humanities and social sciences are eligible areas of study, including (but not limited to) archaeology, architecture, art, bibliography, economics, history, history of science, law, literature, music, political science, religion, and theater."</t>
  </si>
  <si>
    <t>Research Funds</t>
  </si>
  <si>
    <t>Language and Area Studies,
Anthropology</t>
  </si>
  <si>
    <t>$3,000-$9,000</t>
  </si>
  <si>
    <t xml:space="preserve">“The Jacobs Research Funds (JRF) and the Kinkade Language and Culture Fund (KLF) are sister organizations that fund linguistic and anthropological research on aboriginal peoples of North and South America. The JRF accepts proposals on behalf of both organizations. 
Priority is given to research on the Pacific Northwest. However, research in other areas of the Americas will be funded if possible. 
The JRF is affiliated with the Whatcom Museum in Bellingham, Washington.”   </t>
  </si>
  <si>
    <t>"The Research and Development program supports projects that address major challenges in preserving or providing access to humanities collections and resources. These challenges include the need to find better ways to preserve materials of critical importance to the nation’s cultural heritage—from fragile artifacts and manuscripts to analog recordings and digital assets subject to technological obsolescence—and to develop advanced modes of organizing, searching, discovering, and using such materials."</t>
  </si>
  <si>
    <t>Library and Information Science Research Grant Program</t>
  </si>
  <si>
    <t>"Promote independent research, particularly work helping to integrate new technologies that offer innovative approaches, and research that contributes to a better understanding of the information environment and user expectations and behaviors. We will prioritize submissions that integrate diversity, inclusion and equity aspects into these research areas."</t>
  </si>
  <si>
    <t>&lt;€2,000</t>
  </si>
  <si>
    <t>Membership required
“IASA regularly offers financial awards to encourage and support research and publication within the field of audiovisual archiving and preservation…. IASA will support a research project only if there is evidence that the results are within the scope of IASA's purposes. This includes, but is not limited to the care of, access to, and long term preservation of sound and audiovisual heritage including the development of best professional standards and practice for sound and audiovisual heritage.”</t>
  </si>
  <si>
    <t>Rolling/TBD</t>
  </si>
  <si>
    <t>Library Science/ Enivronmental Science</t>
  </si>
  <si>
    <t>bona fide scholars</t>
  </si>
  <si>
    <t>Free overnight housing</t>
  </si>
  <si>
    <t>"The Oak Spring Garden Library includes about 16,000 objects, including rare books, manuscripts and works of art relating to plants, gardens and landscapes, dating back to the 14th century. Beginning in January 2018 we are able to offer free overnight accommodation on the Oak Spring estate for bona fide scholars wishing to study material in the Oak Spring Garden Library
collections. Since we are only able to accommodate a limited number of scholars at any given
time, we will probably need to prioritize our visitors based on timing and topics.'</t>
  </si>
  <si>
    <t>Dynamics of Coupled Natural and Human Systems Program</t>
  </si>
  <si>
    <t>No new DEADLINE as of 10.30.18
The Dynamics of Coupled Natural and Human Systems (CNH) Program supports interdisciplinary research that examines human and natural system processes and the complex interactions among human and natural systems at diverse scales.  Research projects to be supported by CNH must include analyses of four different components:  (1) the dynamics of a natural system; (2) the dynamics of a human system; (3) the processes through which the natural system affects the human system; and (4) the processes through which the human system affects the natural system.  CNH also supports research coordination networks (CNH-RCNs) designed to facilitate activities that promote future research by broad research communities that will include all four components necessary for CNH funding.</t>
  </si>
  <si>
    <t>$35,000-$70,000</t>
  </si>
  <si>
    <t>No new DEADLINE as of 10.30.18
The NARSAD Young Investigator Grant provides support for the most promising young scientists conducting neurobiological research. Two-year awards up to $70,000, or $35,000 per year are provided to enable promising investigators to either extend research fellowship training or begin careers as independent research faculty. Basic and/or clinical investigators are supported, but research must be relevant to serious brain and behavior disorders such as schizophrenia, mood disorders, anxiety disorders or child and adolescent mental illnesses.</t>
  </si>
  <si>
    <t>Searle Scholars Program</t>
  </si>
  <si>
    <t>$300,000/3 years</t>
  </si>
  <si>
    <t xml:space="preserve">No new DEADLINE as of 10.30.18
Searle Grants support research in medicine, chemistry, and the biological sciences. “The Searle Scholars Program is a limited submission award program which makes grants to selected academic and research institutions to support the independent research of outstanding early-career scientists who have recently been appointed as assistant professors on a tenure-track appointment. Grants are $300,000 for a three-year term with $100,000 payable each year of the grant, subject to the receipt of acceptable progress reports. Generally, the program makes 15 new grants annually.”  </t>
  </si>
  <si>
    <t>R01 - Research Grants</t>
  </si>
  <si>
    <t>Renewal, Resubmit, Revision
"The Research Project Grant (R01) is the original and historically oldest grant mechanism used by NIH. The R01 provides support for health-related research and development based on the mission of the NIH…. [T]he R01 research plan proposed by the applicant must be related to the stated program interests of one or more of the NIH Institutes and Centers based on their missions.”</t>
  </si>
  <si>
    <t>R03, R21, R33, R34, R36 - Other Research Grants</t>
  </si>
  <si>
    <t>Annual deadline</t>
  </si>
  <si>
    <t>Behavior Research Foundation</t>
  </si>
  <si>
    <t>Visionary Grants</t>
  </si>
  <si>
    <t>&lt;10 year postdoc</t>
  </si>
  <si>
    <t>"The APF Visionary Grants seek to seed innovation through supporting research, education and intervention projects and programs that use psychology to solve social problems in the following priority areas:
Applying psychology to at-risk, vulnerable populations (e.g. serious mental illness, returning military, those who are incarcerated or economically disadvantaged)Preventing violenceUnderstanding the connection between behavior and health (e.g. wellness, diabetes, obesity)Understanding and eliminating stigma and prejudice (e.g. race, gender, sexual orientation, religion, age, disability and socioeconomic status)
Preference will be given to pilot projects that, if successful, would be strong candidates for support from major federal and foundation funding agencies, and “demonstration projects” that promise to generalize broadly to similar settings in other geographical areas and/or to other settings."</t>
  </si>
  <si>
    <t>"As one of the world’s largest funding sources for animal health research, we are proud of our long tradition of supporting some of the most innovative researchers advancing the health of more species in more places than any other organization. To date, we have invested over $118 million. Our research program accepts proposals in three overarching areas:
Small companion animal (cats, dogs) – in March
Large companion animal (equine species, camelids) -  in July
Wildlife (including reptiles, amphibians, exotic pets) - in November"
 There is no limit to budget.  The average grants is $50,000.</t>
  </si>
  <si>
    <t>&lt;$75,000/year</t>
  </si>
  <si>
    <t>April 15, October 1.  Deadlines are for Letter of Intent
"The Whitehall Foundation, through its program of grants and grants-in-aid, assists scholarly research in the life sciences. It is the Foundation's policy to assist those dynamic areas of basic biological research that are not heavily supported by Federal Agencies or other foundations with specialized missions. In order to respond to the changing environment, the Whitehall Foundation periodically reassesses the need for financial support by the various fields of biological research.
The Foundation emphasizes the support of young scientists at the beginning of their careers and productive senior scientists who wish to move into new fields of interest. Consideration is given, however, to applicants of all ages.
Research grants are available to established scientists of all ages working at accredited institutions in the United States.
The Grants-in-Aid program is designed for researchers at the assistant professor level who experience difficulty in competing for research funds because they have not yet become firmly established. Grants-in-Aid can also be made to senior scientists."  These grants cannot exceed $30,000.</t>
  </si>
  <si>
    <t xml:space="preserve">"The Whitehall Foundation, through its program of grants and grants-in-aid, assists scholarly research in the life sciences. It is the Foundation's policy to assist those dynamic areas of basic biological research that are not heavily supported by Federal Agencies or other foundations with specialized missions. In order to respond to the changing environment, the Whitehall Foundation periodically reassesses the need for financial support by the various fields of biological research. The Foundation emphasizes the support of young scientists at the beginning of their careers and productive senior scientists who wish to move into new fields of interest. Consideration is given, however, to applicants of all ages….
The Foundation is currently interested in basic research in neurobiology, defined as follows: Invertebrate and vertebrate (excluding clinical) neurobiology, specifically investigations of neural mechanisms involved in sensory, motor, and other complex functions of the whole organism as these relate to behavior. The overall goal should be to better understand behavioral output or brain mechanisms of behavior.”
“Research grants are available to established scientists of all ages working at accredited institutions in the United States. The Grants-in-Aid program is designed for researchers at the assistant professor level who experience difficulty in competing for research funds because they have not yet become firmly established. Grants-in-Aid can also be made to senior scientists." These grants cannot exceed $30,000.” </t>
  </si>
  <si>
    <t>$75,000-200,000</t>
  </si>
  <si>
    <t>The National Urban and Community Forestry Advisory Council (Council) "seeks to establish sustainable urban and community forests, by encouraging communities of all sizes to manage and protect their natural resources, which, if well managed, improves the public’s health, well-being, economic vitality, and creates resilient ecosystems for present and future generations. Urban and Community Forestry Program Requirements The Council recommends urban and community forestry projects that have national or multi-state application and impact through the U.S. Forest Service’s competitive Urban and Community Forestry Challenge Cost-Share Grant Program."</t>
  </si>
  <si>
    <t>"The BIGDATA program seeks novel approaches in computer science, statistics, computational science, and mathematics leading towards the further development of the interdisciplinary field of data science. The program also seeks innovative applications in domain science, including social and behavioral sciences, education, physical sciences, and engineering, where data science and the availability of big data are creating new opportunities for research and insights not previously possible.
The solicitation invites two categories of proposals:
Foundations (BIGDATA: F): those developing or studying fundamental theories, techniques, methodologies, and technologies of broad applicability to big data problems, motivated by specific data challenges and requirements; and
Innovative Applications (BIGDATA: IA): those engaged in translational activities that employ new big data techniques, methodologies, and technologies to address and solve problems in specific application domains. Projects in this category must be collaborative, involving researchers from domain disciplines and one or more methodological disciplines, e.g., computer science, statistics, mathematics, simulation and modeling, etc."</t>
  </si>
  <si>
    <t xml:space="preserve">Perception, Action &amp; Cognition </t>
  </si>
  <si>
    <t>1/15/19 OTHER DEADLINES Deadline for workshop proposals is 5/15/18
"The PAC program funds theoretically motivated research on a wide-range of topic areas related to typical human behavior with particular focus on perceptual, motor, and cognitive processes and their interactions. Central research topics for consideration by the program include (but are not limited to) vision, audition, haptics, attention, memory, written and spoken language, spatial cognition, motor control, categorization, reasoning, and concept formation. Of particular interest are emerging areas, such as the interaction of sleep or emotion with cognitive or perceptual processes, epigenetics of cognition, computational models of cognition, and cross-modal and multimodal processing. The program welcomes a wide range of perspectives, such as individual differences, symbolic and neural-inspired computation, ecological approaches, genetics and epigenetics, nonlinear dynamics and complex systems, and a variety of methodologies spanning the range of experimentation and modeling."</t>
  </si>
  <si>
    <t>Funding</t>
  </si>
  <si>
    <t>Recent grants range from $12,000-$28,000</t>
  </si>
  <si>
    <t>"The Eppley Foundation for Research was incorporated in 1947 for the purpose of 'increasing knowledge in pure or applied science…in chemistry, physics and biology through study, research and publication.'
The Foundation does not support work in the social sciences, education or computer science, and only rarely funds research into diseases that have considerable financial support available, such as AIDS, diabetes, cancer and heart disease. Particular areas of interest include innovative medical investigations, climate change, whole ecosystem studies, as well as research on single species if they are of particular significance in their environments, in the U.S. and abroad.
The Foundation does not fund work that can qualify for funding from conventional sources such as the National Science Foundation or the National Institutes of Health, or similar agencies at the state level.
It is important to the Foundation that the work proposed be novel in its insights and unlikely to be underway elsewhere. The Foundation is prepared to take risks."</t>
  </si>
  <si>
    <t>"R18 is the Dissemination and Implementation (D&amp;I) grant, which is reviewed by the National Heart, Lung, and Blood Institute (NHLBI). "Dissemination and Implementation (D&amp;I) research is an integral part of the NHLBI’s systematic approach to the support of research throughout the biomedical spectrum. D&amp;I research involves extension or adaptation of generally accepted and efficacious interventions that have been previously carried out in well-controlled settings to broader populations or settings. In issuing these guidelines, NHLBI intends to provide information to assist members of the scientific community interested in applying for D&amp;I research grants in the cardiovascular, pulmonary, blood, and sleep areas." Deadlines: 1/25/18, 5/25/18, 9/25/18</t>
  </si>
  <si>
    <t>The purpose of this program is to support research education activities that: (a) Complement and/or enhance the training of a workforce to meet the nation’s biomedical, behavioral and clinical research needs; (b) Enhance the diversity of the biomedical, behavioral and clinical research workforce; (c) Help recruit individuals with specific specialty or disciplinary backgrounds to research careers in biomedical, behavioral and clinical sciences; or (d) Foster a better understanding of biomedical, behavioral and clinical research and its implications. Deadlines: 1/25/18, 5/25/18, 9/25/18</t>
  </si>
  <si>
    <t>$10,000-25,000</t>
  </si>
  <si>
    <t xml:space="preserve">4/1/18 OTHER DEADLINE
"New Investigator Grant
This grant is specifically targeted towards new investigators.  A new investigator is defined as someone who is either a fellow or within 10 years of completion of fellowship or equivalent specialist training in their country and has not previously been awarded funding from a major funding organization.  However, this grant is available to candidates who have received a Small Exploratory grant....
Small Exploratory Grant
This grant is designed specifically for new investigators who have a preliminary concept they would like to develop into a research project....
SRS-Cotrel Foundation Basic Science Grant
The SRS-Cotrel Foundation basic science research grants is for projects that will be performing work at the level of a small animal (rodent, fish, etc.) or smaller, including tissue, cellular, and molecular levels. Population genetics studies are also included in this category. Biomechanical studies will not be considered in this category.
Standard Investigator Grant
...These grant applications may be in any area of spinal deformity research, although an additional funding source for grants focusing on the etiology of scoliosis is available in conjunction with the Cotrel Foundation. These grant applications require evidence that the investigator has the experience and resources to complete the proposed research. As such, preliminary data is generally required.” </t>
  </si>
  <si>
    <t>"The Research Project (R01) grant is an award made to support a discrete, specified, circumscribed project to be performed by the named investigator(s) in an area representing the investigator's specific interest and competencies, based on the mission of the NIH."</t>
  </si>
  <si>
    <t>R15 - Academic Research Enhancement Award (AREA)</t>
  </si>
  <si>
    <t>&lt;$300,000</t>
  </si>
  <si>
    <t>OTHER DEADLINES:  February 25, June 25, October 25
"Goals of the Program:
Support meritorious research
expose undergraduate and graduate students to hands-on research in eligible environments
Strengthen the research environment of schools that have not been major recipients of NIH support"</t>
  </si>
  <si>
    <t>Research Program</t>
  </si>
  <si>
    <t>$500,000 - $2M</t>
  </si>
  <si>
    <t>"The Research Program seeks to benefit humanitiy by supporting projects in two specific areas (1) medical research and (2) science and engineering, that are distinctinve and novel in their approach, question the prevailing paradign, or have the potential to break open new territory in their field."</t>
  </si>
  <si>
    <t>Prize for Young Investigators in Cancer Research</t>
  </si>
  <si>
    <t>$200,000/ year for up to 3 years</t>
  </si>
  <si>
    <t>"The Pershing Square Sohn Prize for Young Investigators in Cancer Research provides New York area-based early career scientists the freedom to take risks and pursue their boldest research at a stage when traditional funding is lacking."</t>
  </si>
  <si>
    <t>&lt;$23,000</t>
  </si>
  <si>
    <t>In even calendar years (2018, 2020, etc.) the areas are:
 Chemistry
 Computer Sciences
 Earth, Ocean and Atmospheric Sciences (Starting 2018 “physical oceanography” and “aquatic geochemistry” are part of this section)
 Economics
 Energy Research
 Environmental Research (Air, Water and/or Soil)
 Materials Research
 Mathematical Sciences
 Physics
 Sociology &amp; Anthropology
 Psychology (excluding Psychobiology) 
In odd calendar years (2019, 2021, etc) the BSF supports research projects in the following broad areas:
 Biomedical Engineering
 Health Sciences
 Life Sciences (Starting from 2017, inc Ecology; note also that the sub-areas of Ecology were redefined and can be found at the end of this document)
 Psychobiology
Cooperative research is a  fundamental requirement for the BSF and is viewed by the Foundation as active collaboration between Israeli and American scientists. A joint research program must be presented in the form of a single, coordinated application, in which the roles and tasks of the respective partners are clearly defined. Each application should have at least two principal investigators (but not more than six), one from an Israeli institution and one from a U.S. institution."</t>
  </si>
  <si>
    <t>"The Summer Faculty Research Program provides science and engineering faculty members from institutions of higher education the opportunity to participate in research of mutual interest to the faculty member and peers at U.S. Navy laboratories for a 10-week period....
Program participants have an opportunity to establish continuing research relationships with the R&amp;D personnel of the host laboratories which may result in sponsorship of the participant’s research at their home institutions."</t>
  </si>
  <si>
    <t xml:space="preserve">“The Center would like to enhance its efforts to support analytic and methodological research in support of its surveys, and to engage in the education and training of researchers in the use of large-scale nationally representative datasets.  NCSES welcomes efforts by the research community to use NCSES data for research on the science and technology enterprise, to develop improved survey methodologies for NCSES surveys, to create and improve indicators of S&amp;T activities and resources, and strengthen methodologies to analyze and disseminate S&amp;T statistical data. To that end, NCSES invites proposals for individual or multi-investigator research projects, doctoral dissertation improvement awards, workshops, experimental research, survey research and data collection and dissemination projects under its program for Research on the Science and Technology Enterprise:  Statistics and Surveys.”  </t>
  </si>
  <si>
    <t xml:space="preserve">Innovation in Regulatory Science </t>
  </si>
  <si>
    <t>&lt;$500,000</t>
  </si>
  <si>
    <t>"BWF’s Innovation in Regulatory Science Awards provide up to $500,000 over five years to academic investigators developing new methodologies or innovative approaches in regulatory science that will ultimately inform the regulatory decisions the Food and Drug Administration (FDA) and others make."</t>
  </si>
  <si>
    <t>Ocean Technology and Interdisplinary Coordination</t>
  </si>
  <si>
    <t xml:space="preserve">“The Oceanographic Technology and Interdisciplinary Coordination (OTIC) Program supports a broad range of research and technology development activities. Unsolicited proposals are accepted for instrumentation development that has broad applicability to ocean science research projects and that enhance observational, experimental or analytical capabilities of the ocean science research community.”  </t>
  </si>
  <si>
    <t>"Cultivating Cultures for Ethical STEM (CCE STEM) funds research projects that identify factors that are efficacious in the formation of ethical STEM researchers in all the fields of science and engineering that NSF supports. CCE STEM solicits proposals for research that explores the following: ‘What constitutes ethical STEM research and practice, and which cultural and institutional contexts promote ethical STEM research and practice and why?'  Factors one might consider include:  honor codes,  professional ethics codes and licensing requirements, an ethic of service and/or service learning, life-long learning requirements,  curricula or memberships in organizations (e.g. Engineers without Borders) that stress social responsibility and  humanitarian goals,  institutions that  serve  under-represented groups,  institutions where academic and research integrity are cultivated at multiple levels,  institutions that cultivate ethics across the curriculum, or programs that promote group work, or do not grade.  Do certain labs have a ‘culture of academic integrity'? What practices contribute to the establishment and maintenance of ethical cultures and how can these practices be transferred, extended to, and integrated into other research and learning settings?"</t>
  </si>
  <si>
    <t xml:space="preserve">Young Investigators’ Research Grants, Human Frontier Science Program </t>
  </si>
  <si>
    <t>Letter of intent due at "end of March"
"The HFSP supports novel, innovative and interdisciplinary basic research focused on the complex mechanisms of living organisms; topics range from molecular and cellular approaches to systems and cognitive neuroscience and the interactions between organisms. A clear emphasis is placed on novel collaborations that bring biologists together with scientists from fields such as physics, mathematics, chemistry, computer science and engineering to focus on problems at the frontier of the life sciences. "</t>
  </si>
  <si>
    <t>up to $500,000</t>
  </si>
  <si>
    <t>OTHER DEADLINES: 11/14/19
CISE’s Division of Computing and Communication Foundations (CCF) supports research and education projects that develop new knowledge in four core programs:
The Algorithmic Foundations (AF) program;
The Communications and Information Foundations (CIF) program;
The Foundations of Emerging Technologies (FET) program; and
The Software and Hardware Foundations (SHF) program.</t>
  </si>
  <si>
    <t>OTHER DEADLINES: 9/25/19 and 11/14/19
'CISE’s Division of Computer and Network Systems (CNS) supports research and education projects that take a system-oriented approach to the development of novel computing and networking technologies, or to the enhancement of existing systems in any of several dimensions, or that explore new ways to make use of existing technologies."</t>
  </si>
  <si>
    <t>OTHER DEADLINES: 9/25/19 and 11/14/19
CISE’s Division of Information and Intelligent Systems (IIS) supports research and education projects that develop new knowledge in three core programs:
The Cyber-Human Systems (CHS) program;
The Information Integration and Informatics (III) program; and
The Robust Intelligence (RI) program.
Proposals in the area of computer graphics and</t>
  </si>
  <si>
    <t>&lt;$330,000/2 years
&lt;$975,000/3 years</t>
  </si>
  <si>
    <t>No longer open.  Check website for other opportunities
"Grants awarded through this RFA are intended to provide funding for investigators conducting bold, creative and rigorous research into the underlying biology, causes and treatment of autism spectrum disorders.
Pilot Awards are intended for investigators who are requesting support for small-scale projects or early-stage experiments that will build on preliminary data or a prior track record and lead to competitive applications for funding by SFARI or other organizations....
Research Awards are intended for investigators with demonstrated experience who are requesting support for compelling, high-impact research on an experimental hypothesis for which preliminary data have already been gathered."</t>
  </si>
  <si>
    <t>"Bioversity International collaborates with students (MSc and PhD) and working professionals from developed and developing countries to carry out thesis or other research that contributes to our mission to deliver scientific evidence, management practices and policy options to use and safeguard agricultural biodiversity to attain global food and nutrition security. The topic of the research should be aligned with one of Bioversity International’s areas of expertise. The objectives of the fellowships are to develop individual capacity in research for development, to contribute to generating and sharing knowledge, to build a network of scientists and institutions within our field of interest and offer employment experience to recent graduates."</t>
  </si>
  <si>
    <t>up to $15,000</t>
  </si>
  <si>
    <t>"The goal of the CPRC seed grant program is to help faculty lay the groundwork for intellectually innovative research projects in population, health, and society to the point where they can attract external funding. 
Substantively, the CPRC is interested in proposals that address one or more of our research priorities. Applications should 1) focus on the CPRC’s four primary research areas; 2) link cutting-edge research in neuroscience with the social, behavioral, or health sciences; 3) propose globally focused research; 4) develop research methodology; and/or propose policy-related research oriented toward pressing social issues in the domestic or international arena."</t>
  </si>
  <si>
    <t>&lt;$80,000</t>
  </si>
  <si>
    <t>"Application type for proposals requesting support of exploratory experiments that will strengthen hypotheses and lead to the formulation of competitive applications for subsequent larger-scale funding by SFARI or other organizations. Innovative, high-risk/high-impact proposals are encouraged. We especially encourage applications from investigators who are new to the field of autism, but who have expertise that could be brought to bear on this complex disorder."</t>
  </si>
  <si>
    <t>"The Electronics, Photonics and Magnetic Devices (EPMD) Program supports innovative research on novel devices based on the principles of electronics, optics and photonics, optoelectronics, magnetics, opto- and electromechanics, electromagnetics, and related physical phenomena. EPMD’s goal is to advance the frontiers of micro-, nano- and quantum-based devices operating within the electromagnetic spectrum and contributing to a broad range of application domains including information and communications, imaging and sensing, healthcare, Internet of Things, energy, infrastructure, and manufacturing. The program encourages research based on emerging technologies for miniaturization, integration, and energy efficiency as well as novel material-based devices with new functionalities, improved efficiency, flexibility, tunability, wearability, and enhanced reliability."</t>
  </si>
  <si>
    <t>"The Energy, Power, Control, and Networks (EPCN) Program supports innovative research in modeling, optimization, learning, adaptation, and control of networked multi-agent systems, higher-level decision making, and dynamic resource allocation, as well as risk management in the presence of uncertainty, sub-system failures, and stochastic disturbances. EPCN also invests in novel machine learning algorithms and analysis, adaptive dynamic programming, brain-like networked architectures performing real-time learning, and neuromorphic engineering. EPCN’s goal is to encourage research on emerging technologies and applications including energy, transportation, robotics, and biomedical devices &amp; systems. EPCN also emphasizes electric power systems, including generation, transmission, storage, and integration of renewable energy sources into the grid; power electronics and drives; battery management systems; hybrid and electric vehicles; and understanding of the interplay of power systems with associated regulatory &amp; economic structures and with consumer behavior."</t>
  </si>
  <si>
    <t>"The Communications, Circuits, and Sensing-Systems (CCSS) Program supports innovative research in circuit and system hardware and signal processing techniques. CCSS also supports system and network architectures for communications and sensing to enable the next-generation cyber-physical systems (CPS) that leverage computation, communication, and sensing integrated with physical domains. CCSS invests in micro- and nano-electromechanical systems (MEMS/NEMS), physical, chemical, and biological sensing systems, neurotechnologies, and communication &amp; sensing circuits and systems. The goal is to create new complex and hybrid systems ranging from nano- to macro-scale with innovative engineering principles and solutions for a variety of applications including but not limited to healthcare, medicine, environmental and biological monitoring, communications, disaster mitigation, homeland security, intelligent transportation, manufacturing, energy, and smart buildings. CCSS encourages research proposals based on emerging technologies and applications for communications and sensing such as high-speed communications of terabits per second and beyond, sensing and imaging covering microwave to terahertz frequencies, personalized health monitoring and assistance, secured wireless connectivity and sensing for the Internet of Things, and dynamic-data-enabled autonomous systems through real-time sensing and learning."</t>
  </si>
  <si>
    <t>"In today’s increasingly networked, distributed, and asynchronous world, cybersecurity involves hardware, software, networks, data, people, and integration with the physical world. However, society’s overwhelming reliance on this complex cyberspace has exposed its fragility and vulnerabilities: corporations, agencies, national infrastructure and individuals have been victims of cyber-attacks. Achieving a truly secure cyberspace requires addressing both challenging scientific and engineering problems involving many components of a system, and vulnerabilities that arise from human behaviors and choices. Examining the fundamentals of security and privacy as a multidisciplinary subject can lead to fundamentally new ways to design, build and operate cyber systems, protect existing infrastructure, and motivate and educate individuals about cybersecurity."</t>
  </si>
  <si>
    <t xml:space="preserve">Division of Integrative Organismal Systems </t>
  </si>
  <si>
    <t>"The Division of Integrative Organismal Systems (IOS) supports research aimed at understanding why organisms are structured the way they are and function as they do. Proposals should focus on organisms as a fundamental unit of biological organization. Principal Investigators (PIs) are encouraged to apply systems approaches that will lead to conceptual and theoretical insights and predictions about emergent organismal properties. Areas of inquiry include, but are not limited to, developmental biology and the evolution of developmental processes, nervous system development, structure, and function, physiological processes, functional morphology, symbioses, interactions of organisms with biotic and abiotic environments, and animal behavior."</t>
  </si>
  <si>
    <t>Division of Environmental Biology (DEB)</t>
  </si>
  <si>
    <t xml:space="preserve">"The Division of Environmental Biology (DEB) supports fundamental research on populations, species, communities, and ecosystems. Scientific emphases range across many evolutionary and ecological patterns and processes at all spatial and temporal scales. Areas of research include biodiversity, phylogenetic systematics, molecular evolution, life history evolution, natural selection, ecology, biogeography, ecosystem structure, function and services, conservation biology, global change, and biogeochemical cycles. Research on organismal origins, functions, relationships, interactions, and evolutionary history may incorporate field, laboratory, or collection-based approaches; observational or manipulative experiments; synthesis activities; as well as theoretical approaches involving analytical, statistical, or computational modeling.” </t>
  </si>
  <si>
    <t>Sciences
Agriculture</t>
  </si>
  <si>
    <t>Research and Education:  "Northeast SARE's Research and Education Grant program funds projects (with or without an applied research component) that result in gains in farmer knowledge and skills applied to make changes that lead to greater sustainability throughout the Northeast region."
Research for Novel Approaches:  "Northeast SARE’s Research for Novel Approaches in Sustainable Agriculture grant program funds projects that conduct applied research leading to the feasibility of new practices and approaches that have high potential for adoption by farmers."</t>
  </si>
  <si>
    <t>Paleo Perspectives on Climate Change</t>
  </si>
  <si>
    <t>"The goal of research funded under the interdisciplinary P2C2 solicitation is to utilize key geological, chemical, atmospheric (gas in ice cores), and biological records of climate system variability to provide insights into the mechanisms and rate of change that characterized Earth's past climate variability, the sensitivity of Earth's climate system to changes in forcing, and the response of key components of the Earth system to these changes. 
Important scientific objectives of P2C2 are to: 1) provide comprehensive paleoclimate data sets that can serve as model test data sets analogous to instrumental observations; and 2) enable transformative syntheses of paleoclimate data and modeling outcomes to understand the response of the longer-term and higher magnitude variability of the climate system that is observed in the geological and cryospheric records.  "</t>
  </si>
  <si>
    <t>"The Earth consists of a variety of complex systems that are variable over space and time, and respond to a wide range of perturbations.  The goal of the Integrated Earth Systems (IES) program is to investigate the interplay among the continental, terrestrial, and interior systems of the planet.  The program provides an opportunity for collaborative, multidisciplinary research into the operation, dynamics, and complexity of Earth systems that encompass the core of the Earth through the surface. Innovative projects that explore new research directions beyond those typically considered by core programs of the Division of Earth Sciences (EAR) are encouraged.  Investigations may include all or part of the continental, terrestrial and deep Earth at all temporal and spatial scales.  IES will support topics that include (but are not limited to) continental systems; terrestrial or surficial Earth systems including physical, chemical, and biotic dimensions; linkages among tectonics, climate, and landscape evolution; the coupling of the Earth's climate, depositional and biotic systems; and global cycles that involve core and mantle processes."</t>
  </si>
  <si>
    <t>July 1 OTHER DEADLINE
"National Speleological Society International Exploration Grants foster and encourage the work of NSS cavers in cave exploration, survey, photography and research projects around the world. Grants are given in support of group equipment for expeditions outside of the United States and its territories. Grants have varied between $200 and $1500 in past ten years and have supported caving on 6 continents by dozens of US cavers. Projects have included work in Mexico, Cuba, the Dominican Republic, Egypt, Borneo, Chile, Nepal, China, and many more countries. As few as three and as many as twelve grants have been given in a single year. Overall since 2008 more than $55,000 has been granted for nearly 70 expeditions in 25 countries."</t>
  </si>
  <si>
    <t>Biological Anthropology</t>
  </si>
  <si>
    <t>"The Biological Anthropology Program supports basic research in areas related to human evolution and contemporary human biological variation. Research areas supported by the program include, but are not limited to, human genetic variation, human and nonhuman primate ecology and adaptability, human osteology and bone biology, human and nonhuman primate paleontology, functional anatomy, and primate socioecology. Grants supported in these areas are united by an underlying evolutionary framework, and often by a consideration of adaptation as a central theoretical theme. Proposals may also have a biocultural or bioarchaeological orientation. The program frequently serves as a bridge within NSF between the social and behavioral sciences and the natural and physical sciences, and proposals commonly are jointly reviewed and funded with other programs."</t>
  </si>
  <si>
    <t>"Research Grants are given to qualified individuals or teams who are members of the NSS by the time the proposal is submitted for research-support in cave-related branches of study. This includes, but is not limited to, natural sciences (e.g., cave biology, geology, paleontology, and hydrology), social sciences (e.g., archaeology), and the humanities (e.g., speleological history). We also welcome interdisciplinary proposals. Grants applications will be evaluated for their   potential to generate new information and insights that are suitable for submission to peer-reviewed publications."</t>
  </si>
  <si>
    <t>All proposals to: Chemical Catalysis (CAT); Chemical Structure, Dynamics and Mechanisms-A (CSDM-A); Chemical Structure, Dynamics and Mechanisms-B (CSDM-B); Chemical Theory, Models and Computational Methods (CTMC); and Chemical Synthesis (SYN)
"CHE supports a large and vibrant research community engaged in fundamental discovery, invention, and innovation in the chemical sciences. The projects supported by CHE explore the frontiers of chemical science, develop the foundations for future technologies and industries that meet changing societal needs, and prepare the next generation of chemical researchers.
Some of the areas supported by CHE include:
designing, synthesizing and characterizing new molecules, surfaces, and nanostructures - especially those with a focus on sustainability;
increasing our fundamental understanding of molecules and their chemical transformations;
developing new tools for chemical discovery, including those in data discovery science where increasing volumes and varieties of data are harnessed to advance innovation;
determining structure-function relationships in biological systems and contributing to our understanding of the fundamental rules of life;
observing, manipulating, and controlling the behavior of matter and energy in nanometer dimensions such as the quantum regime;
understanding chemical processes in the environment;
enabling next-generation technologies in sensing, computing, modeling, and communications; and
solving complex chemical problems by the development of new theories, computations, and tools, including the synergistic combination of multiple types of instruments."</t>
  </si>
  <si>
    <t>$55,000/2 years</t>
  </si>
  <si>
    <t>“The Undergraduate Research (UR) grants program provides funding for scientists and engineers with established programs of research at non-doctoral departments. UR grants are used to illustrate proof of principle, i.e., feasibility, and accordingly, are to be viewed as seed money for generating preliminary results that can be used to apply for continuation funding from other agencies. Applicants may have limited or no preliminary results for a research project they wish to pursue.”</t>
  </si>
  <si>
    <r>
      <t>"Undergraduate New Investigator (UNI) grants provide funds for scientists and engineers who are beginning their independent careers in academia and have limited or no preliminary results for a research project they wish to pursue. The UNI grants are to be used to illustrate proof of principle, i.e., feasibility, and accordingly, are to be viewed as seed money for generating preliminary results that can be used to apply for continuation funding from other agencies.
Eligibility for a UNI grant requires that a PI is in a department without a doctoral program in the United States and that the students receiving stipends for the work to be done are undergraduates "  "shall use all funds exclusively for advanced scientific education and fundamental research in the ‘</t>
    </r>
    <r>
      <rPr>
        <b/>
        <sz val="11"/>
        <rFont val="Calibri"/>
      </rPr>
      <t>petroleum field</t>
    </r>
    <r>
      <rPr>
        <sz val="11"/>
        <color rgb="FF000000"/>
        <rFont val="Calibri"/>
      </rPr>
      <t>,’"</t>
    </r>
  </si>
  <si>
    <t>All proposals to: Chemical Measurement and Imaging (CMI); Chemistry of Life Processes (CLP); Environmental Chemical Sciences (ECS); and Macromolecular, Supramolecular and Nanochemistry (MSN)
"CHE supports a large and vibrant research community engaged in fundamental discovery, invention, and innovation in the chemical sciences. The projects supported by CHE explore the frontiers of chemical science, develop the foundations for future technologies and industries that meet changing societal needs, and prepare the next generation of chemical researchers.
Some of the areas supported by CHE include:
designing, synthesizing and characterizing new molecules, surfaces, and nanostructures - especially those with a focus on sustainability;
increasing our fundamental understanding of molecules and their chemical transformations;
developing new tools for chemical discovery, including those in data discovery science where increasing volumes and varieties of data are harnessed to advance innovation;
determining structure-function relationships in biological systems and contributing to our understanding of the fundamental rules of life;
observing, manipulating, and controlling the behavior of matter and energy in nanometer dimensions such as the quantum regime;
understanding chemical processes in the environment;
enabling next-generation technologies in sensing, computing, modeling, and communications; and
solving complex chemical problems by the development of new theories, computations, and tools, including the synergistic combination of multiple types of instruments."</t>
  </si>
  <si>
    <t>Facebook</t>
  </si>
  <si>
    <t>Secure the Internet grants</t>
  </si>
  <si>
    <t>Sciences
Computer Science</t>
  </si>
  <si>
    <t>Ran in 2018.  May not run again.
"Facebook is pleased to invite submissions from university researchers and faculty, non-profit organizations, and NGOs for applied research proposals to improve the security, privacy, and safety of internet users. Our goal is to spur development of technology that may be applied in practice, rather than pure research, in a wide range of topics including, but not limited to:
Abuse detection and reporting
Anti-phishing
Post-password authentication
Privacy preserving technologies
Security for users in emerging markets
User safety"</t>
  </si>
  <si>
    <t>National Science Foundation</t>
  </si>
  <si>
    <t>Sciences
Environmental Science</t>
  </si>
  <si>
    <t>"The goal of the Environmental Sustainability program is to promote sustainable engineered systems that support human well-being and that are also compatible with sustaining natural (environmental) systems. These systems provide ecological services vital for human survival. Research efforts supported by the program typically consider long time horizons and may incorporate contributions from the social sciences and ethics. The program supports engineering research that seeks to balance society's need to provide ecological protection and maintain stable economic conditions. All proposed research should be driven by engineering principles, and be presented explicitly in an environmental sustainability context. Proposals should include involvement in engineering research of at least one graduate student, as well as undergraduates. Incorporation of aspects of social, behavioral, and economic sciences is welcomed."</t>
  </si>
  <si>
    <t>Long Term Research in Environmental Biology</t>
  </si>
  <si>
    <t xml:space="preserve">“The Long Term Research in Environmental Biology (LTREB) Program supports the generation of extended time series of data to address important questions in evolutionary biology, ecology, and ecosystem science. Research areas include, but are not limited to, the effects of natural selection or other evolutionary processes on populations, communities, or ecosystems; the effects of interspecific interactions that vary over time and space; population or community dynamics for organisms that have extended life spans and long turnover times; feedbacks between ecological and evolutionary processes; pools of materials such as nutrients in soils that turn over at intermediate to longer time scales; and external forcing functions such as climatic cycles that operate over long return intervals.
The Program intends to support decadal projects. Funding for an initial, 5-year period requires submission of a preliminary proposal and, if invited, submission of a full proposal that includes a 15-page project description. Proposals for the second five years of support (renewal proposals) are limited to a ten-page project description and do not require a preliminary proposal.” </t>
  </si>
  <si>
    <t>Sciences
Environmental Science
Computer Sciences</t>
  </si>
  <si>
    <t>&lt;$200,000</t>
  </si>
  <si>
    <t>Less than $100,000 is recommended.
"The grants will support the creation and deployment of open source trained models and algorithms that are available to other environmental researchers and innovators and thereby have the potential to provide exponential impact.
To qualify, applications should outline a proposal to use AI for conservation in at least one of the following core areas:  
Biodiversity conservation...
Climate change...
Agriculture...
Water...
Below are just a few examples of the types of tools that we are interested in supporting:
Biodiversity conservation: acoustic and image classification, geotemporal distribution models
Climate change: temperature and precipitation model downscaling, risk optimization
Agriculture: health monitoring in crops and livestock, yield modeling
Water: groundwater modeling, flood prediction"</t>
  </si>
  <si>
    <t>Sciences
Geology</t>
  </si>
  <si>
    <t>From the Division of Ocean Sciences, "GeoPRISMS (Geodynamic Processes at Rifting and Subducting Margins) Program investigates the coupled geodynamics, earth surface processes, and climate interactions that build and modify continental margins over a wide range of timescales. These interactions cross the shoreline and have applications to margin evolution and dynamics, construction of stratigraphic architecture, accumulation of economic resources, and associated geologic hazards and environmental management. The GeoPRISMS Program includes two broadly integrated science initiatives (Subduction Cycles and Deformation (SCD) and Rift Initiation and Evolution (RIE)), linked by five overarching scientific topics and themes, where transformative advances are likely to occur in the decade 2011-2020, and where a focused scientific program could be most effective. These overarching science topics include 1) Origin and evolution of continental crust; 2) Fluids, magmas and their interactions; 3) Climate-surface-tectonics feedbacks; 4) Geochemical cycles; and 5) Plate boundary deformation and geodynamics. Each of the initiatives has identified primary sites for focused investigations, as well as thematic studies that will complement primary site studies."</t>
  </si>
  <si>
    <t>Sciences
health</t>
  </si>
  <si>
    <t>"The goal of this call for proposals (CFP) is to fund research that supports new scientific evidence on ways to optimize delivery and financing systems in ways that improve health and reduce inequities."</t>
  </si>
  <si>
    <t>The Health of Sexual and Gender Minority (SGM) Populations R21 and R03</t>
  </si>
  <si>
    <t>"The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t>
  </si>
  <si>
    <t>Optional LOI due 11/5/18.  Application deadline is 12/5/18
"The NIH Research Education Program (R25) supports research education activities in the mission areas of the NIH.  The over-arching goal of this National Institute of Allergy and infectious Diseases (NIAID) R25 program is to support educational activities that complement and/or enhance the training of a workforce to meet the nation’s biomedical, behavioral and clinical research needs in NIAID mission areas.  
To accomplish the stated over-arching goal, this FOA will support creative educational activities with a primary focus on Courses for Skills Development, Research Experiences and Mentoring Activities related to NIAID's mission areas."</t>
  </si>
  <si>
    <t>"The multi-agency Ecology and Evolution of Infectious Diseases program supports research on the ecological, evolutionary, and social principles and processes that influence the transmission dynamics of infectious diseases. The central theme of submitted projects must be quantitative or computational understanding of pathogen transmission dynamics. The intent is discovery of principles of infectious disease transmission and testing mathematical or computational models that elucidate infectious disease systems. Projects should be broad, interdisciplinary efforts that go beyond the scope of typical studies. They should focus on the determinants and interactions of transmission among humans, non-human animals, and/or plants. This includes, for example, the spread of pathogens; the influence of environmental factors such as climate; the population dynamics and genetics of reservoir species or hosts; the feedback between ecological transmission and evolutionary dynamics; and the cultural, social, behavioral, and economic dimensions of pathogen transmission. Research may be on zoonotic, environmentally-borne, vector-borne, or enteric pathogens of either terrestrial or freshwater systems and organisms, including diseases of animals and plants, at any scale from specific pathogens to inclusive environmental systems. Proposals for research on disease systems of public health concern to developing countries are strongly encouraged, as are disease systems of concern in agricultural systems. Investigators are encouraged to develop the appropriate multidisciplinary team, including for example, modelers, ecologists, bioinformaticians, genomics researchers, social scientists, economists, epidemiologists, evolutionary biologists, entomologists, parasitologists, microbiologists, bacteriologists, virologists, pathologists or veterinarians, with the goal of integrating knowledge across disciplines to enhance our ability to predict and control infectious diseases."</t>
  </si>
  <si>
    <t xml:space="preserve">Sciences
Health and Medicine
</t>
  </si>
  <si>
    <t>junior faculty</t>
  </si>
  <si>
    <t>up to $100,000</t>
  </si>
  <si>
    <t>The major goal of this program is to assist in the development of the careers of junior investigators committed to pursuing careers in the field of aging research. GMRF and AFAR support research projects concerned with understanding the basic mechanisms of aging. Projects investigating age-related diseases are also supported, especially if approached from the point of view of how basic aging processes may lead to these outcomes.</t>
  </si>
  <si>
    <t>FirstRisk Advisors Initiatives in College Mental/Behavioral Health Funding Opportunity</t>
  </si>
  <si>
    <t>Sciences
Health and Medicine
Psychology</t>
  </si>
  <si>
    <t>"With growing national concerns regarding the prevalence and complexity of mental and behavioral health issues among college students and the negative impact these disorders have on the health and safety of higher education communities, student retention, student learning/academic progress, and the human potential of students, funding sponsor FirstRisk Advisors, through the American College Health Foundation, is offering one annual $3,500 funding opportunity.
The FirstRisk Advisors Initiatives in College Mental/Behavioral Health Funding Opportunity is designed to fund the development of creative initiatives that address prevention, early intervention, and treatment for mental and behavioral health disorders among students. The goal of these initiatives is to reduce the risk of mental and behavioral illness and injury among college students and to enhance both individual and community health as a strategy to support student learning."</t>
  </si>
  <si>
    <t>up to $500,000/year for 3 years</t>
  </si>
  <si>
    <t>Aug 1 LOI Dec 7 Full application for invited
The Focus Grant for Short-Term Risk is open to innovative, potentially high-yield proposals that focus on short-term risk for suicide.</t>
  </si>
  <si>
    <t>Sciences
Mathematics</t>
  </si>
  <si>
    <t>"The School of Mathematics at the Institute for Advanced Study welcomes applications from mathematicians and theoretical computer scientists at the post-doctoral and mid-to-senior career levels, and strongly encourages applications from women and minorities.  Stipends, on-campus housing, and other resources are available for periods of 4-11 months for individual researchers in all mathematical subject areas.  Successful candidates will be free to devote themselves full-time to research.  The School supports approximately 85 Members per year."</t>
  </si>
  <si>
    <t>"There is concern in many quarters that women are not succeeding in the mathematics community at the expected rate. Those concerned include research mathematicians, women who studied in the l960's and 1970's and expected larger numbers of women to follow, and those who view the scene from institutional perspectives. This program is an effort to address this gender imbalance.  In accordance with the principle that mathematics should be inclusive, not exclusive, the activities of the program are open to all, regardless of age and gender.  Funding is provided.
Many female students and young researchers have encountered discrimination in certain situations and have concerns about entering a field with few senior women visible. The atmosphere in classes and seminars can be unappealing, and nearly all young women have practical questions about managing a career and personal interests. Often women have not had the opportunity to work with other serious women in their profession or listen to more than an occasional lecture or course given by a woman. The network formed through contacts with women functions like any other network in giving opportunities, support, and inside information to its members."
2019 Program for Women and Mathematics: Topics in Geometric Analysis--May 18, 2019 - May 24, 2019"</t>
  </si>
  <si>
    <t>"The Mathematical Biology Program supports research in areas of applied and computational mathematics with relevance to the biological sciences.  Successful proposals are mathematically innovative and address challenging problems of interest to members of the biological community. 
Some projects of interest to the Mathematical Biology Program may include development of mathematical concepts and tools traditionally seen in other disciplinary programs within the Division of Mathematical Sciences, e.g., topology, probability, statistics, computational mathematics, etc.  To receive appropriate and timely review, such proposals should be submitted directly to the relevant disciplinary program that has the earliest deadline, with other program(s) selected as secondary.  Note that proposals that use established mathematical and computational tools to address problems in the biological sciences are typically not appropriate for submission to DMS."</t>
  </si>
  <si>
    <t>"The Probability Program supports research on the theory and applications of probability. Subfields include discrete probability, stochastic processes, limit theory, interacting particle systems, stochastic differential and partial differential equations, and Markov processes. Research in probability which involves applications to other areas of science and engineering is especially encouraged."</t>
  </si>
  <si>
    <t>$150,000-$500,000</t>
  </si>
  <si>
    <t>"The purpose of the Focused Research Group activity is to support collaborative groups employing innovative methods to solve specific, major research challenges in the mathematical sciences. A major challenge is an outstanding problem of significant importance that requires the focused and synergistic efforts of a collaborative group to solve, and whose solution will have wide impacts in the mathematical sciences and potentially in other areas. Groups may include, in addition to statisticians and mathematicians, researchers from other science and engineering disciplines appropriate for the proposed research. Risky projects are welcome. Interdisciplinary projects are welcome. Projects should be timely, limited in duration to up to three years, and substantial in their scope and impact for the mathematical sciences. Funded projects that show substantial progress in their first two years may be recommended for a creativity extension for up to an additional two years."</t>
  </si>
  <si>
    <t>"The CDS&amp;E-MSS program accepts proposals that confront and embrace the host of mathematical and statistical challenges presented to the scientific and engineering communities by the ever-expanding role of computational modeling and simulation on the one hand, and the explosion in production of digital and observational data on the other. The goal of the program is to promote the creation and development of the next generation of mathematical and statistical theories and tools that will be essential for addressing such issues. To this end, the program will support fundamental research in mathematics and statistics whose primary emphasis will be on meeting the aforementioned computational and data-related challenges."</t>
  </si>
  <si>
    <t>"The Combinatorics program supports research on discrete structures and includes algebraic, enumerative, existential, extremal, geometric, and probabilistic combinatorics, including graph theory."</t>
  </si>
  <si>
    <t>"The program in Foundations supports research in mathematical logic and the foundations of mathematics, including proof theory, recursion theory, model theory, set theory, and infinitary combinatorics."</t>
  </si>
  <si>
    <t>Division of Mathematical Sciences Analysis Program</t>
  </si>
  <si>
    <t>"The Analysis Program supports basic research in that area of mathematics whose roots can be traced to the calculus of Newton and Leibniz.  Given its centuries-old ties to physics, analysis has influenced developments from Newton’s mechanics to quantum mechanics and from Fourier’s study of heat conduction to Maxwell’s equations of electromagnetism to Witten’s theory of supersymmetry.  More generally, research supported by Analysis provides the theoretical underpinning for the majority of applications of the mathematical sciences to other scientific disciplines.  Current areas of significant activity include: nonlinear partial differential equations; dynamical systems and ergodic theory; real, complex and harmonic analysis; operator theory and algebras of operators on Hilbert space; mathematical physics; and representation theory of Lie groups/algebras.  Emerging areas include random matrix theory and its ties to classical analysis, number theory, quantum mechanics, and coding theory; and development of noncommutative geometry with its applications to modeling physical phenomena.  It should be stressed, however, that the underlying role of the Analysis Program is to provide support for research in mathematics at the most fundamental level.  Although this is often done with the expectation that the research will generate a payoff in applications at some point down the road, the principal mission of the Program is to tend and replenish an important reservoir of mathematical knowledge, maintaining it as a dependable resource to be drawn upon by engineers, life and physical scientists, and other mathematical scientists, as need arises."</t>
  </si>
  <si>
    <t>$2,000,000/year</t>
  </si>
  <si>
    <t>"A Simons Collaboration in MPS should address a mathematical or theoretical topic of fundamental scientific importance, where a significant, new development creates a novel area for exploration or provides a new direction for progress in an established field. The questions addressed by the collaboration may be concrete or conceptual, but there should be little doubt that answering them would constitute a major scientific milestone."</t>
  </si>
  <si>
    <t>Division of Physics Investigator-Initiated Research Projects</t>
  </si>
  <si>
    <t>"The Division of Physics (PHY) supports physics research and the preparation of future scientists in the nation’s colleges and universities across a broad range of physics disciplines that span scales of space and time from the largest to the smallest and the oldest to the youngest.  The Division is comprised of disciplinary programs covering experimental and theoretical research in the following major subfields of physics: Accelerator Science; Atomic, Molecular and Optical Physics; Computational Physics; Elementary Particle Physics; Gravitational Physics; Integrative Activities in Physics; Nuclear Physics; Particle Astrophysics; Physics of Living Systems; Plasma Physics (supported under a separate solicitation); and Quantum Information Science."</t>
  </si>
  <si>
    <t>Experimental Elementary Particle Physics</t>
  </si>
  <si>
    <t>"The Elementary Particle Theory program encompasses different theoretical tools for understanding the interaction of elementary particles at different energy scales. These include String Theory, Quantum Field Theory, Lattice Field Theory, Effective Field Theories, and Phenomenology based on the above theoretical tools. The program supports both formal string theory as well as string-theory-inspired model building.  Proposals in mathematical physics that are relevant for string theory and/or quantum field theory are also relevant for this program.   Predictions for upcoming experiments at the Large Hadron Collider (LHC) involve Supersymmetric Model building, Grand Unified Theories, Extra Dimensions, String Inspired phenomenology as well as high order calculations in the Standard Model (of strong weak and electromagnetic interactions) to sort out what new physics might be discovered at the next generation of accelerators and cosmic ray and neutrino detectors. High precision simulations of quantum chromodynamics (QCD) processes using lattice gauge theory are also a crucial ingredient for understanding present and future experiments at various collider facilities. Supported research includes contributions to broad theoretical advances as well as model building and applications to experimental programs at facilities such as the Relativistic Heavy Ion Collider (RHIC) and Jefferson Laboratory, and to astrophysical phenomena. This includes formulating new approaches for theoretical, computational, and experimental research that explore the fundamental laws of physics and the behavior of physical systems; formulating quantitative hypotheses; exploring and analyzing the implications of such hypotheses analytically and computationally; and interpreting the results of experiments. The effort also includes a considerable number of interdisciplinary grants."</t>
  </si>
  <si>
    <t>Math+X Investigators</t>
  </si>
  <si>
    <t>$300,000/year for 5 years</t>
  </si>
  <si>
    <t>By invitation
"This program is designed to encourage novel collaborations between mathematics and other fields in science or engineering by providing funds to professors to establish programs at the interface between mathematics and other fields of science or engineering."</t>
  </si>
  <si>
    <t>"The Astronomy and Astrophysics Research Grants (AAG) Program provides individual investigator and collaborative research grants for observational, theoretical, laboratory, and archival data studies in astronomy and astrophysics. Acceptable research areas include the following: stellar astronomy and astrophysics; the astronomy and astrophysics of our Galaxy; extragalactic astronomy and astrophysics; and cosmology. Proposals for projects and tools that enable and enhance research in those areas are also acceptable. Proposals that are solely or predominantly for the acquisition, analysis, or interpretation of space-based data from NASA-supported missions will be returned without review."</t>
  </si>
  <si>
    <t>"The Statistics Program supports research in statistical theory and methods, including research in statistical methods for applications to any domain of science and engineering. The theory forms the base for statistical science. The methods are used for stochastic modeling, and the collection, analysis and interpretation of data. The methods characterize uncertainty in the data and facilitate advancement in science and engineering. The Program encourages proposals ranging from single-investigator projects to interdisciplinary team projects."</t>
  </si>
  <si>
    <t>Fluid Dynamics</t>
  </si>
  <si>
    <t>"The Fluid Dynamics program supports fundamental research toward gaining an understanding of the physics of various fluid dynamics phenomenon. Proposed research should contribute to basic scientific understanding via experiments, theoretical developments, and computational discovery. Encouraged are proposals that focus on high Reynolds number turbulence scaling and modeling."</t>
  </si>
  <si>
    <t>"Investigators use physiological and structural, cellular and molecular imaging techniques to pilot-test novel clinical hypotheses on the brain or interactions between brain and immune cells. Requests for Proposals (RFPs) are sent annually to deans of U.S. Medical Schools and other invited biomedical research institutions."</t>
  </si>
  <si>
    <t>"Translational researchers apply to test promising therapies, from animal model research, in a small number of patients with devastating, currently untreatable, brain diseases. Also supported are studies to develop ethical guidelines for clinical brain research, and prognostic data based on treatment outcomes in patients with severe brain injuries or disorders. "</t>
  </si>
  <si>
    <t>Sciences
Physics</t>
  </si>
  <si>
    <t>$90m for 300 grants</t>
  </si>
  <si>
    <t>"The Division of Physics (PHY) supports physics research and the preparation of future scientists in the nation’s colleges and universities across a broad range of physics disciplines that span scales of space and time from the largest to the smallest and the oldest to the youngest. The Division is comprised of disciplinary programs covering experimental and theoretical research in the following major subfields of physics: Atomic, Molecular and Optical Physics; Computational Physics; Elementary Particle Physics; Gravitational Physics; Integrative Activities in Physics; Nuclear Physics; Particle Astrophysics; Physics of Living Systems; Plasma Physics (supported under a separate solicitation); and Quantum Information Science."</t>
  </si>
  <si>
    <t>"Up to five awards of $1,500 each will be presented annually to enable recipients to complete substantive instructional research projects related to the teaching of psychology that will create resources suitable for posting on OTRP-Online or, if an empirical study, for publication in Teaching of Psychology or a SoTL journal. Proposals may be general in focus or specific to a particular psychology course or student population."</t>
  </si>
  <si>
    <t>"Research projects in any phase of development are eligible for funding (e.g., materials design, data collection, manuscript writing). However, the proposed project must have a high probability of producing a product that will be presented and/or published in a peer-reviewed outlet in a timely manner.  Proposals will be evaluated on the degree to which proposal fits STP’s description of the SoTL. Proposals that align with the STP President’s preferred themes, will be given top priority. The 2018 themes are: (1) Scientific Literacy, (2) Psychology &amp; Liberal Arts: Maintaining the integrity of liberal education in a rapidly changing world, and (3) Culture Across the Curriculum: How to teach a psychology of all people."</t>
  </si>
  <si>
    <t>Sciences
Psychology &amp; Neuroscience</t>
  </si>
  <si>
    <t>2017 deadline:  December 1
"True to the core of Erikson’s work, the Erikson Scholar Program aims to create and maintain a steady flow of ideas between scholars and clinicians on topics that take up the interaction between the internal and external worlds, that have the potential to enrich our understanding of each, and that might have application to larger societal problems.  Inquiry into the nature of psychosocial experience, the relationship of the individual to culture and history, the role of trauma, the dynamics of identity and the place of community are broad examples of the areas in which the Erikson Scholar Program honors and extends the legacy of Erikson’s important contribution to the field of psychoanalysis and to the Center during his ten years on the staff."</t>
  </si>
  <si>
    <t>Cognitive Neuroscience</t>
  </si>
  <si>
    <t xml:space="preserve">Full proposal deadline:  AUgust 13, 2018
"The Cognitive Neuroscience Program seeks highly innovative proposals aimed at advancing a rigorous understanding of the neural mechanisms of human cognition. Central research topics for consideration by the program include attention, learning, memory, decision-making, language, social cognition, and emotions. Proposals with animal models are appropriate only if they include a comparative element with human subjects. Proposals focused on behavioral, clinical or molecular mechanisms will not be considered for this program."   </t>
  </si>
  <si>
    <t>Social Psychology</t>
  </si>
  <si>
    <t xml:space="preserve">July 16, 2018 
“The Social Psychology Program at NSF supports basic research on human social behavior, including cultural differences and development over the life span. 
Among the many research topics supported are: attitude formation and change, social cognition, personality processes, interpersonal relations and group processes, the self, emotion, social comparison and social influence, and the psychophysiological and neurophysiological bases of social behavior.”
</t>
  </si>
  <si>
    <t>Blueprint for Neuroscience Research</t>
  </si>
  <si>
    <t>various</t>
  </si>
  <si>
    <t>"Computational neuroscience provides a theoretical foundation and a rich set of technical approaches for understanding complex neurobiological systems, building on the theory, methods, and findings of computer science, neuroscience, and numerous other disciplines.
Through the CRCNS program, the National Science Foundation (NSF), the National Institutes of Health (NIH), the German Federal Ministry of Education and Research (Bundesministerium für Bildung und Forschung, BMBF), the French National Research Agency (Agence Nationale de la Recherche, ANR), the United States-Israel Binational Science Foundation (BSF), Japan’s National Institute of Information and Communications Technology (NICT), and the State Research Agency (Agencia Estatal de Investigación, AEI) and National Institute of Health Carlos III (Instituto de Salud Carlos III, ISCIII), both of Spain, support collaborative activities that will advance the understanding of nervous system structure and function, mechanisms underlying nervous system disorders, and computational strategies used by the nervous system.
Two classes of proposals will be considered in response to this solicitation:
Research Proposals describing collaborative research projects, and
Data Sharing Proposals to enable sharing of data and other resources."</t>
  </si>
  <si>
    <t>Seed Grant</t>
  </si>
  <si>
    <t>"Brain Research Foundation supports neuroscience research that leads to advanced understanding of brain function in children and adults. This Foundation is committed to advance discoveries that will lead to novel treatments and prevention of all neurological diseases."
"Brain Research Foundation’s Fay/Frank Seed Grant Program was founded in 1981 with the goal of providing start-up money for new and innovative research projects that have the potential to become competitive for an NIH grant or other external funding sources. Our goal is to have this grant succeed in opening future opportunities for research, collaboration and scientific advancement."</t>
  </si>
  <si>
    <t>OTHER DEADLINE 7/16/19
"DS supports research that addresses developmental processes within the domains of cognitive, social, emotional, and motor development across the lifespan by working with any appropriate populations for the topics of interest including infants, children, adolescents, adults, and non-human animals. The program also supports research investigating factors that affect developmental change including family, peers, school, community, culture, media, physical, genetic, and epigenetic influences. Additional priorities include research that: incorporates multidisciplinary, multi-method, microgenetic, and longitudinal approaches; develops new methods, models, and theories for studying development; includes participants from a range of ethnicities, socioeconomic backgrounds, and cultures; and integrates different processes (e.g., memory, emotion, perception, cognition), levels of analysis (e.g., behavioral, social, neural), and time scales."</t>
  </si>
  <si>
    <t>"Each year, between 20 and 25 scholars are selected as Members in the School of Social Science.... Members are expected only to pursue their own research and participate in the seminars. The theme for 2019-20 is "Economy and Society" but applications outside the theme are also welcomed.  An interdisciplinary dialogue will be fostered and applications are strongly encouraged from scholars across the social sciences, whether or not their research corresponds to the theme."</t>
  </si>
  <si>
    <t>&lt;$50,000 decisions made on an ongoing basis
&gt;$50,000 decisions made at board meeting</t>
  </si>
  <si>
    <t>"The International Security and the Foreign Policy Program and Domestic Public Policy Program make grants for research and writing on public policy topics that have been identified as priority areas for the Foundation."  
"The objective of the International Security and Foreign Policy Program is to assist the U.S. policy community in developing effective national security strategies and foreign policies. The Foundation is committed to supporting projects that help the policy community face the fundamental challenge of ensuring the security of the United States, protecting and promoting American interests and values abroad, and enhancing international order.
The Domestic Public Policy Program supports projects that will help the public and policy makers understand and address critical challenges facing the United States.  To that end, the Foundation supports research on and evaluation of existing public policies and programs, as well as projects that inject new ideas into public debates."</t>
  </si>
  <si>
    <t>$35,000 over two years</t>
  </si>
  <si>
    <t>No new DEADLINE as of 10.30.18
CSSD brings together faculty in humanities, law, social sciences, medicine and the arts, as well as artists and practitioners in the New York area and beyond, to investigate problems of social, economic, and cultural inequality. The Center’s working groups challenge the disciplinary divides among the humanities, the arts, and the social sciences by asking not only how historical categories of social difference intersect on the level of identity, but also how these categories shape institutions, modes of knowing, acts of representation, and processes of globalization. Funding is in the amount of $35,000 over two years with the possibility of $15,000 for a third year, contingent on working group interest and the availability of Center funds. CSSD seeks projects that align with the mission of “Women Creating Change” or “Imagining Justice” and favors proposals from an interdisciplinary core working group (usually 5-8 people, not all of whom need be affiliated with Columbia or Barnard). The Center encourages and facilitates international collaborations. Center support is seed money to enable working groups to get off the ground; it is the expectation of the Center that all projects will also seek additional funding.</t>
  </si>
  <si>
    <t>$15,000-$40,000</t>
  </si>
  <si>
    <t>"The foundation welcomes proposals from any of the natural and social sciences and the humanities that promise to increase understanding of the causes, manifestations, and control of violence and aggression. Highest priority is given to research that can increase understanding and amelioration of urgent problems of violence and aggression in the modern world. Questions that interest the foundation concern violence and aggression in relation to social change, intergroup conflict, war, terrorism, crime, and family relationships, among other subjects."</t>
  </si>
  <si>
    <t>&lt;$150,000/2 years</t>
  </si>
  <si>
    <t>"This Russell Sage Foundation initiative will support innovative social science research on the social, economic and political effects of the Affordable Care Act. We are especially interested in funding analyses that address important questions about the effects of the reform on outcomes such as financial security and family economic well-being, labor supply and demand, participation in other public programs, family and children’s outcomes, and differential effects by age, race, ethnicity, nativity, or disability status. We are also interested in research that examines the political effects of the implementation of the new law, including changes in views about government, support for future government policy changes, or the impact on policy development outside of health care. Funding is available for secondary analysis of data or for original data collection. We welcome projects that propose novel uses of existing data, as well as projects that propose to analyze newly available or underutilized data."</t>
  </si>
  <si>
    <t>OTHER DEADLINE: NOVEMBER, 2018 (possible)
"The Future of Work program examines the causes and consequences of the deteriorating quality of low-wage jobs in the United States. Projects sponsored by the program have examined a wide range of causal factors, from foreign outsourcing and immigration to the decline of unions and technological change, that may have depressed wages of low-education workers. Current research under this program includes a new investigation to re-assess how minimum wage increases affect employment and the broader labor market; a new study of the extent of offshoring of production by U.S. firms and its impact on the economy; and a project that examines the role of job search behaviors on the employment and wage outcomes of women and minorities in the post-recessionary U.S. labor market, among others."</t>
  </si>
  <si>
    <t>LOI deadline  OTHER DEADLINE: August 20 and November 30, 2018
"The Russell Sage Foundation's program on Social Inequality supports innovative research on whether rising economic inequality has affected social, political, and economic institutions, and the extent to which increased inequality has affected equality of opportunity, social mobility, and the intergenerational transmission of advantage. We seek investigator-initiated research projects that will broaden our understanding of the causes and consequences of rising economic inequalities in the United States....
Funding is available for secondary analysis of data or for original data collection. We are especially interested in novel uses of existing data, as well as analyses of new or under-utilized data. Proposals to conduct laboratory or field experiments, in-depth qualitative interviews, and ethnographies are also encouraged. Smaller projects might consist of exploratory fieldwork, a pilot study, or the analysis of existing data."</t>
  </si>
  <si>
    <t>Behavioral Economics</t>
  </si>
  <si>
    <t>5/24/18, 8/20/18, 11/30/18 OTHER DEADLINES  
"The Russell Sage Foundation's program on Behavioral Economics supports innovative research that uses behavioral insights from psychology and other social sciences to examine and improve social and living conditions in the United States. We seek investigator-initiated research proposals that will broaden our understanding of the social, economic and political consequences of real-life behaviors and decisions that deviate from the neoclassical economic standards of rationality. RSF is especially interested in behavioral economics research that contributes to our understanding of topics of interest under its other programs—Future of Work; Race, Ethnicity and Immigration; Social Inequality."</t>
  </si>
  <si>
    <t>Up to $175,000</t>
  </si>
  <si>
    <t>May 24, 2018 OTHER DEADLINE
“The Russell Sage Foundation/Carnegie Corporation Initiative on Immigration and Immigrant Integration seeks to support innovative research on the effects of race, citizenship, legal status and politics, political culture and public policy on outcomes for immigrants and for the native-born of different racial and ethnic groups and generations. This initiative falls under RSF’s Race, Ethnicity, and Immigration Program and represents a special area of interest within the core program, which continues to encourage proposals on a broader set of issues.”</t>
  </si>
  <si>
    <t>Law &amp; Social Sciences</t>
  </si>
  <si>
    <t>OTHER DEADLINE:  8/15
"The Law &amp; Social Sciences Program considers proposals that address social scientific studies of law and law-like systems of rules.  The Program is inherently interdisciplinary and multi-methodological.  Successful proposals describe research that advances scientific theory and understanding of the connections between law or legal processes and human behavior.  Social scientific studies of law often approach law as dynamic, made in multiple arenas, with the participation of multiple actors.  Fields of study include many disciplines, and often address problems including though not limited to:
Crime, Violence and Punishment
Economic Issues
Governance
Legal Decision Making
Legal Mobilization and Conceptions of Justice
Litigation and the Legal Profession"</t>
  </si>
  <si>
    <t>Linguistics</t>
  </si>
  <si>
    <t>OTHER DEADLINE 7/16/18
"The Linguistics Program supports basic science in the domain of human language, encompassing investigations of the grammatical properties of individual human languages, and of natural language in general. Research areas include syntax, semantics, morphology, phonetics, and phonology.
The program encourages projects that are interdisciplinary in methodological or theoretical perspective, and that address questions that cross disciplinary boundaries, such as (but not limited to):
What are the psychological processes involved in the production, perception, and comprehension of language?
What are the computational properties of language and/or the language processor that make fluent production, incremental comprehension or rapid learning possible?
How do the acoustic and physiological properties of speech inform our theories of natural language and/or language processing?
What role does human neurobiology play in shaping the various grammatical properties of language? 
How does language develop in children?
What social and cultural factors underlie language variation and change?"</t>
  </si>
  <si>
    <t>August 16, OTHER DEADLINE 
"The National Science Foundation announces an opportunity for methodological training by cultural anthropologists who are active researchers. The purpose is to help cultural anthropologists upgrade their methodological skills by learning a specific analytical technique which will improve their research abilities."</t>
  </si>
  <si>
    <t>Decision, Risk and Management Sciences</t>
  </si>
  <si>
    <t>OTHER DEADLINE August 18, 2018, and January 18, 2019
"The Decision, Risk and Management Sciences program supports scientific research directed at increasing the understanding and effectiveness of decision making by individuals, groups, organizations, and society. Disciplinary and interdisciplinary research, doctoral dissertation research improvement grants (DDRIGs), and workshops are funded in the areas of judgment and decision making; decision analysis and decision aids; risk analysis, perception, and communication; societal and public policy decision making; management science and organizational design."</t>
  </si>
  <si>
    <t>Economics</t>
  </si>
  <si>
    <t>OTHER DEADLINE August 18, 2018, and January 18, 2019
"The Economics program supports research designed to improve the understanding of the processes and institutions of the U.S. economy and of the world system of which it is a part. This program also strengthens both empirical and theoretical economic analysis as well as the methods for rigorous research on economic behavior. It supports research in almost every area of economics, including econometrics, economic history, environmental economics, finance, industrial organization, international economics, labor economics, macroeconomics, mathematical economics, and public finance.
The Economics program welcomes proposals for individual or multi-investigator research projects, doctoral dissertation improvement awards, conferences, symposia, experimental research, data collection and dissemination, computer equipment and other instrumentation, and research experience for undergraduates. The program places a high priority on interdisciplinary research."</t>
  </si>
  <si>
    <t xml:space="preserve">Science, Technology, and Society </t>
  </si>
  <si>
    <t xml:space="preserve">August 3, 2018 OTHER DEADLINE
“The Science, Technology, and Society (STS) program supports research that uses historical, philosophical, and social scientific methods to investigate the intellectual, material, and social facets of the scientific, technological, engineering and mathematical (STEM) disciplines. It encompasses a broad spectrum of STS topics including interdisciplinary studies of ethics, equity, governance, and policy issues that are closely related to STEM disciplines, including medical science.” </t>
  </si>
  <si>
    <t>Science of Organizations</t>
  </si>
  <si>
    <t>OTHER DEADLINE 9/3/19
"Organizations -- private and public, established and entrepreneurial, designed and emergent, formal and informal, profit and nonprofit -- are critical to the well-being of nations and their citizens. They are of crucial importance for producing goods and services, creating value, providing jobs, and achieving social goals. The Science of Organizations (SoO) program funds basic research that yields a scientific evidence base for improving the design and emergence, development and deployment, and management and ultimate effectiveness of organizations of all kinds."</t>
  </si>
  <si>
    <t>Science of Science and Innovation Policy</t>
  </si>
  <si>
    <t>9/10/18 OTHER DEADLINE
"The Science of Science &amp; Innovation Policy (SciSIP) program supports research designed to advance the scientific basis of science and innovation policy. The program funds research to develop models, analytical tools, data and metrics that can be applied in the science policy decision making process and concern the use and allocation of scarce scientific resources. For example, research proposals may develop behavioral and analytical conceptualizations, frameworks or models that have applications across the broad array of science and innovation policy challenges. Proposals also may develop methodologies to analyze science, technology and innovation data, and to usefully convey that information to a variety of audiences. Proposals that create and improve science, engineering and innovation data, including the design of new metrics and indicators, particularly proposals that demonstrate the viability of collecting and analyzing data on knowledge generation and innovation in organizations, are encouraged."</t>
  </si>
  <si>
    <t>January 15, OTHER DEADLINE 
"The primary objective of the Cultural Anthropology Program is to support fundamental, systematic anthropological research and training to increase understanding of the causes, consequences, and complexities of human social and cultural variability. The Cultural Anthropology Program welcomes proposals from researchers in all sub-fields of cultural anthropology and research at any temporal and spatial scale. Methodologies and approaches employed may include ethnographic field research, surveys, remote sensing, the collection of bio-markers, experimental research inside or outside of laboratory settings, archival research, the analysis of materials collections and extant data bases, mathematical and computational modeling, and other research tools as appropriate for the research proposed. The overarching research goals should be to produce empirically grounded findings that will be generalizable beyond particular case studies and contribute to building a more robust anthropological science of human society and culture."</t>
  </si>
  <si>
    <t>Small Grants Program</t>
  </si>
  <si>
    <t>"The Russell Sage Behavioral Economics Roundtable offers small grants to support high quality research in behavioral economics and to encourage young investigators to enter this developing field. There are no limitations on the disciplinary background of the principal investigator, and the proposed research may address any economic topic. However, projects must contribute to the Foundation's mission to improve the social and living conditions in the U.S. Interdisciplinary efforts are welcome. Appropriate projects will demonstrate explicit use of psychological concepts in the motivation of the design and the preparation of the results. Experimental projects which do not have substantial behavioral content (such as market experiments testing neoclassical ideas) or substantial economic content (such as psychology experiments with no economic choices or strategic or market implications) will not be funded."</t>
  </si>
  <si>
    <t>"Recognizing that good policymaking relies on the availability of high-quality research, the foundation invests primarily in scholarship that results in the publication of books, journal articles, and policy papers. Funding is typically provided in the form of research grants, fellowships, and other types of targeted project support.
The Searle Freedom Trust also provides funding for public interest litigation and supports outreach to the public through a variety of forums, including sponsorship of research conferences and seminars, film and journalism projects, and new media initiatives.
With the foundation’s assistance, university and think tank scholars investigate a wide range of issues, including:
· Tax and budget policy
· Cost-benefit analysis of regulatory practices and proposals
· The workings of the legal system
· Environmental policy
· Social welfare reform
· K-12 and higher education policy"</t>
  </si>
  <si>
    <t>Race, Ethnicity, and Immigration</t>
  </si>
  <si>
    <t>Social Sciences
Race studies</t>
  </si>
  <si>
    <t>Letter of Inquiry May 24, 2018
"The Foundation’s newest program on Race, Ethnicity, and Immigration, replaces two previous programs: Immigration and Cultural Contact. Insights gained from these two long-standing programs inform the genesis of the new program on Race, Ethnicity, and Immigration. The new program encourages multi-disciplinary perspectives on questions stemming from the significant changes in the racial, ethnic, and immigrant-origin composition of the U.S. population. A primary goal is to find ways in which researchers from different social science traditions studying issues of race, ethnicity, and immigration may complement one another in productive and innovative ways. We continue to encourage multi-disciplinary perspectives and methods that both strengthen the data, theory, and methods of social science research and foster an understanding of how we might better achieve the American ideals of a pluralist society."</t>
  </si>
  <si>
    <t>early career (preference given to &lt;8 years postdoc)</t>
  </si>
  <si>
    <t>"The Julie Herzig Desnick Fund will provide grants to archaeologists to start new archaeological survey projects. The awards are intended for projects involving field survey on the ground or a combination of field survey and remote sensing methods, rather than those based entirely on satellite imagery or other remote sensing data. Geophysical survey projects are also eligible....
Projects may concern any location in the world and any time period. Each project should make innovative use of technology, and the fieldwork proposed should be designed to address important questions about the human past."</t>
  </si>
  <si>
    <t>"The Steinmetz Fund will support the use of technology in archaeological research by providing grants to archaeological projects that make innovative use of technological tools and methods. Normally, such projects will have a fieldwork element. However, research conducted in a laboratory setting that employs technology may also be eligible for a grant....
Projects may concern any location in the world and any time period, but must be designed to address important questions about the human past specifically through technological means."</t>
  </si>
  <si>
    <t>"The Boochever Fund will support both fieldwork and laboratory research informed by new technologies. While the fund’s primary purpose is to help defray the start-up costs of new projects, archaeologists exploring innovative applications of new technologies in any stage of their work are welcome to apply. 
Projects may concern any location in the world and any time period, but must be designed to address significant questions about the human past through the use of state-of-the-art technology, understood broadly to include not only digital tools and approaches, but also those developed in engineering, chemistry, biology, physics, etc."</t>
  </si>
  <si>
    <t>May 1 and November 1, 2018 OTHER DEADLINES 
"Post-Ph.D. Research Grants are awarded to individuals holding a Ph.D. or equivalent degree to support individual research projects. The program contributes to the Foundation's overall mission to support basic research in anthropology and to ensure that the discipline continues to be a source of vibrant and significant work that furthers our understanding of humanity's cultural and biological origins, development, and variation. The Foundation supports research that demonstrates a clear link to anthropological theory and debates, and promises to make a solid contribution to advancing these ideas. There is no preference for any methodology, research location, or subfield. The Foundation particularly welcomes proposals that employ a comparative perspective, can generate innovative approaches or ideas, and/or integrate two or more subfields."</t>
  </si>
  <si>
    <t>up to $1,000</t>
  </si>
  <si>
    <t>"These awards are intended to support faculty research collaborations in Classics (any sub-discipline) with undergraduate students. Applications should include statements from the faculty and student researchers outlining the nature of the project, giving a prospective timeline for the project, an account of the respective responsibilities and intellectual contributions of faculty member and student, as well as a budget indicating how the money will be spent (the award covers such expenses as books, supplies, and travel for the student but not honoraria). The application should also indicate whether the project is receiving support from the applicant’s home institution. Finally the application should describe what the research pair envisages the nature of the final product to be, and what contribution it is intended to make to the field. The faculty member participating in this project must be a current CAMWS member at the time of application. The undergraduate does not. If awarded the grant, the undergraduate will receive a complimentary membership in CAMWS for the year of the grant."</t>
  </si>
  <si>
    <t>"To support an individual project of a scholarly nature, related to Aegean Bronze Age Archaeology, and to be conducted between July 1 of the award year and the following June 30.  Preference will be given to candidates whose project requires travel to the Mediterranean for the purpose stated above.  AIA fellowship funds may not be used for institutional overhead, institutional administrative recovery costs, or institutional indirect costs."</t>
  </si>
  <si>
    <t>"Anthropological research may be conducted under unusual circumstances, often in distant locations. As a result the ability to conduct potentially important research may hinge on factors that are impossible to assess from a distance and some projects with potentially great payoffs may face difficulties in securing funding. This program gives small awards that provide investigators with the opportunity to assess the feasibility of an anthropological research project. The information gathered may then be used as the basis for preparing a more fully developed research program. Projects which face severe time constraints because of transient phenomena or access to materials may also be considered."</t>
  </si>
  <si>
    <t>Political Science</t>
  </si>
  <si>
    <t>"The Political Science Program supports scientific research that advances knowledge and understanding of citizenship, government, and politics. Research proposals are expected to be theoretically motivated, conceptually precise, methodologically rigorous, and empirically oriented. Substantive areas include, but are not limited to, American government and politics, comparative government and politics, international relations, political behavior, political economy, and political institutions.
In recent years, program awards have supported research projects on bargaining processes; campaigns and elections, electoral choice, and electoral systems; citizen support in emerging and established democracies; democratization, political change, and regime transitions; domestic and international conflict; international political economy; party activism; political psychology and political tolerance."</t>
  </si>
  <si>
    <t>Small Research Grant Program</t>
  </si>
  <si>
    <t>"The APSA Small Research Grant Program supports research in all fields of political science. The intent of these grants is to provide funding opportunities for research conducted by political scientists not employed at PhD-granting departments in the field, or who are in non-tenure track or contingent positions ineligible for departmental funding."</t>
  </si>
  <si>
    <t>Dowdy Research Grant</t>
  </si>
  <si>
    <t>"BCPM seeks to assist researchers through the John and JD Dowdy Memorial Congressional Research Endowed Fund which provides financial support for on-campus work in the library's congressional collections."</t>
  </si>
  <si>
    <t>"This Funding Opportunity Announcement (FOA) invites Small Research Grant (R03) applications to study the ethical, legal and social implications (ELSI) of human genome research.  These applications should be for small, self-contained research projects, such as those that involve single investigators.  Of particular interest are projects that propose normative or conceptual analyses, including focused legal, economic, philosophical, anthropological, or historical analyses of new or emerging issues.  This mechanism can also be used for the collection of preliminary data and the secondary analysis of existing data."</t>
  </si>
  <si>
    <t>Sociology</t>
  </si>
  <si>
    <t>"The Sociology Program supports basic research on all forms of human social organization -- societies, institutions, groups and demography -- and processes of individual and institutional change. The Program encourages theoretically focused empirical investigations aimed at improving the explanation of fundamental social processes. Included is research on organizations and organizational behavior, population dynamics, social movements, social groups, labor force participation, stratification and mobility, family, social networks, socialization, gender, race and the sociology of science and technology. The Program supports both original data collections and secondary data analysis that use the full range of quantitative and qualitative methodological tools. Theoretically grounded projects that offer methodological innovations and improvements for data collection and analysis are also welcomed."</t>
  </si>
  <si>
    <t>In planning stages</t>
  </si>
  <si>
    <t>STEM</t>
  </si>
  <si>
    <t>Not listed</t>
  </si>
  <si>
    <t>“The Wellcome Leap Fund will support scientists, technologists and innovators from around the world to pursue bold ideas that would fall outside the remit of conventional life sciences funding. This is because they are deemed too high risk, need to overcome a major scientific or technical hurdle to turn a theoretical goal into reality, or because the individual does not have an academic background in the life sciences.”</t>
  </si>
  <si>
    <t>Industry-University Cooperative Research Centers Program</t>
  </si>
  <si>
    <t>research
center</t>
  </si>
  <si>
    <t>"The Industry-University Cooperative Research Centers (IUCRC) program develops long-term partnerships among industry, academe, and government. The Centers are catalyzed by an investment from the National Science Foundation (NSF) and are primarily supported by industry Center members, with NSF taking a supporting role in the development and evolution of the Center. Each Center is established to conduct research that is of interest to both the industry members and the Center faculty. An IUCRC contributes to the nation's research infrastructure base and enhances the intellectual capacity of the engineering and science workforce through the integration of research and education. As appropriate, an IUCRC uses international collaborations to advance these goals within the global context."</t>
  </si>
  <si>
    <t>research
project</t>
  </si>
  <si>
    <t>$5,000-$30,000</t>
  </si>
  <si>
    <t>"All proposed projects should be bold, innovative, and potentially transformative and have a primary focus in conservation, education, research, storytelling, or technology. Projects should also align to one of our three focus areas. 
We do not usually consider applications that support strictly laboratory or collections work."  Focus areas are:
"Early Career Grants are designed to offer less experienced individuals an opportunity to lead a project." ($5,000-$10,000)
"An Exploration Grant application is a request for funding by an experienced project leader in the areas of conservation, education, research, storytelling, and technology." ($10,000-$30,000)
"As part of supporting a planet in balance, National Geographic offers Exploration grants that concentrate on certain key issues. Applicants may propose projects focused in conservation, education, research, storytelling, or technology in response to the special Requests for Proposals (RFPs)."</t>
  </si>
  <si>
    <t>Targeted Grants in Mathematics and Physical Sciences</t>
  </si>
  <si>
    <t>one month of summer salary and related benefits</t>
  </si>
  <si>
    <t>"The Simons Foundation’s Mathematics and Physical Sciences (MPS) division invites applications for its Targeted Grants in MPS program.... The program is intended to support high-risk theoretical mathematics, physics and computer science projects of exceptional promise and scientific importance on a case-by-case basis."</t>
  </si>
  <si>
    <t xml:space="preserve">Sciences
Psychology </t>
  </si>
  <si>
    <t>Research
Project</t>
  </si>
  <si>
    <t>$1,000-$50,000</t>
  </si>
  <si>
    <t>"The Esther Katz Rosen Fund was established in 1974 by a generous bequest intended to support '…activities related to the advancement and application of knowledge about gifted children.'
Rosen Fund grants:
Enable and enhance development of identified gifted and talented children and adolescents.Encourage promising psychologists to continue innovative research and programs in this area.
Support will be provided for activities on the advancement and application of knowledge related to identified gifted and talented children and adolescents, such as:
Research.Pilot projects.Research-based programs."</t>
  </si>
  <si>
    <t>Research
project</t>
  </si>
  <si>
    <t>No new DEADLINE as of 10.30.18
"This grant will be awarded to projects that support research at the historical site of Ancient Troy and sites in the wider region of Western Turkey during the third to first millennia B.C.E., or the regions that supply context to the study of Troy, including but not limited to Anatolia (modern Turkey), southeastern Europe, the Aegean and Crete during the third to first millennia B.C.E.
The grant may be used for the purchase of innovative technologies as part of the research, including but are not limited to remote sensing, geographic information systems (GIS), geophysical techniques, LiDAR, global positioning systems (GPS), and space imaging radar."</t>
  </si>
  <si>
    <t>one grant for first-time directors, another without restrictions</t>
  </si>
  <si>
    <t>"To provide excavation support for professional AIA members working around the world."</t>
  </si>
  <si>
    <t>research center</t>
  </si>
  <si>
    <t>Phase I deadline is August 14, 2018
"The Centers for Chemical Innovation (CCI) Program supports research centers focused on major, long-term fundamental chemical research challenges. CCIs that address these challenges will produce transformative research, lead to innovation, and attract broad scientific and public interest. CCIs are agile structures that can respond rapidly to emerging opportunities through enhanced collaborations. CCIs integrate research, innovation, education, broadening participation, and informal science communication....
Phase I CCIs receive significant resources to develop the science, management and broader impacts of a major research center before requesting Phase II funding. Satisfactory progress in Phase I is required for Phase II applications."</t>
  </si>
  <si>
    <t>research collaboration</t>
  </si>
  <si>
    <t xml:space="preserve">“The goal of the program is to support the “mathematical marketplace” by substantially increasing collaborative contacts between mathematicians. The foundation will make a large number of collaboration grants to accomplished, active researchers in the United States who do not otherwise have access to funding that allows support for travel and visitors…. Awards will be based on the quality and significance of the applicant’s previous research, as outlined in the Statement of Recent Work requirement below, and on the likely impact the collaboration grant will have on future research, both for the applicant and the applicant’s graduate students and/or postdoctoral fellows.”  </t>
  </si>
  <si>
    <t>Religion</t>
  </si>
  <si>
    <t>Research Fellowship</t>
  </si>
  <si>
    <t>Up to $70,000</t>
  </si>
  <si>
    <t>"Research fellowships offer support for research and writing in Buddhist studies for scholars who hold a PhD degree, with no restrictions on time from the PhD.
These fellowships provide scholars time free from teaching and other responsibilities to devote full-time to research and writing on the project proposed. The fellowship period may last up to nine months, during which time no teaching, commissioned research on other topics, or administrative duties are allowed. The fellowship may be separated into two periods, each of which must be a minimum of three months. If the entire duration is less than a total of nine months (minimum of six months), the stipend will be prorated."</t>
  </si>
  <si>
    <t>research funding</t>
  </si>
  <si>
    <t>up to $80,000</t>
  </si>
  <si>
    <t>"The Office of the Executive Vice President for Research annually sponsors the Research Initiatives in Science &amp;amp; Engineering (RISE) funding competition, which awards seed monies to initiate very early-stage, potentially high-impact, interdisciplinary, and high-risk research collaborations that may trigger novel scientific paradigms. Emerging out of each competition year, five or six awarded teams will receive up to $80,000 in seed funds for one year's time, with the possibility of receiving a second year's funding of $80,000. To date, RISE projects have received back 600% more extramural funding than was initially provided to them by institutional funds, and have resulted in 130+ peer-reviewed publications and training opportunities for 130+ postdocs and students. Barnard faculty with joint appointments in a Columbia department are eligible to apply."</t>
  </si>
  <si>
    <t>research in technology</t>
  </si>
  <si>
    <t>"The Grand Challenges family of initiatives fosters innovation to solve key health and development problems."  Grand Challenges support research into technological and data science solutions to global problems in health and economic development.</t>
  </si>
  <si>
    <t>research project</t>
  </si>
  <si>
    <t>$500 to $5000</t>
  </si>
  <si>
    <t>"Collaborative grants are intended to stimulate cooperative research among scholars who have a focus on a clearly identified research project. They may also be used for interdisciplinary work with scholars outside the field of religion, especially when such work shows promise of continuing beyond the year funded. Collaborative project proposals are expected to describe plans for having the results of the funded. Collaborative project proposals are expected to describe plans for having the results of the research published. Grants can provide funds for networking and communication. Funds may also be used to support small research conferences. Conference proposals will be considered only if they are used to support small research conferences. Conference proposals will be considered only if they are designed primarily to advance research."</t>
  </si>
  <si>
    <t>research, travel</t>
  </si>
  <si>
    <t>up to $75,000</t>
  </si>
  <si>
    <t>This fund is designed to provide support for faculty who would like to use the resources or facilities of one or more of the University’s eight Global Centers for teaching or research activities. The Columbia Global Centers are a global network of regional hubs intended to enhance the quality of research and learning at the University.  The program serves as a venture fund to enable the development of projects and research collaborations within and across these sites, in order to increase global opportunities for research, teaching and service.  Proposals are invited for planning grants (up to $25,000), for a period of no longer than one year; and project grants (up to $75,000/year), for a period of up to three years.</t>
  </si>
  <si>
    <t>Johnson&amp;Johnson</t>
  </si>
  <si>
    <t>research/ institutional</t>
  </si>
  <si>
    <t>$150,000/ 3 years</t>
  </si>
  <si>
    <t>"The Johnson &amp; Johnson Scholars Award Program aims to fuel development of female STEM2D leaders and feed the STEM2D talent pipeline by awarding and sponsoring women at critical points in their careers, in each of the STEM2D disciplines: Science, Technology, Engineering, Math, Manufacturing and Design....
The awards will fund one woman per discipline who has completed her advanced degree, who is working as an assistant professor and who is not yet tenured at an accredited university or design institution. The goal is to fuel the research passion of the awarded women and inspire career paths in their respective STEM2D fields."</t>
  </si>
  <si>
    <t>STEM
Arts &amp; Humanities</t>
  </si>
  <si>
    <t>seed grant</t>
  </si>
  <si>
    <t>$1,500-$3,000</t>
  </si>
  <si>
    <t>No new DEADLINE as of 10.30.18
The Center for Science and Society at Columbia University invites proposals for innovative interdisciplinary projects involving the study of science in society that need modest amounts of seed money to initiate collaborative research and programming. All full-time faculty, postdocs, graduate students and undergraduates at Columbia University and Barnard College are eligible, and proposals are welcomed especially from undergraduate and graduate students. Projects might include small research projects, support for a reading group, inviting a speaker, or a contribution towards developing a conference. Grants can be combined with any other funding held by the applicants.</t>
  </si>
  <si>
    <t>SocSci
Anthropology and Archeology</t>
  </si>
  <si>
    <t>Summer Fellowship</t>
  </si>
  <si>
    <t>$600-$1,800</t>
  </si>
  <si>
    <t>"This summer fellowship has been offered since 2016. Gifts from the Friends of Ludwig Koenen, a former President of the SCS, as well as matching funds from the National Endowment for the Humanities have been added to the Society’s Endowment for Classics Research and Teaching.  The Finance Committee determines the amount of income derived from these contributions that will be available each year to support training in papyrology, and applications will be reviewed by a committee consisting of three members, one appointed by the Vice President for Education, one appointed by the Vice President for Publications and Research, and one appointed by the American Society of Papyrologists. The competition is open to graduate students, postdoctoral fellows, and untenured faculty. Applicants must be SCS members,"</t>
  </si>
  <si>
    <t>technology</t>
  </si>
  <si>
    <t>$100,000/year for 2 years</t>
  </si>
  <si>
    <t>"These awards support scientists working on new and unusual approaches to understanding brain function. The program seeks to advance and enlarge the range of technologies available to the neurosciences. It does not support research based primarily on existing techniques.
The Endowment Fund is especially interested in how technology may be used or adapted to monitor, manipulate, analyze, or model brain function at any level, from the molecular to the entire organism. Collaborative and cross-disciplinary applications are invited."</t>
  </si>
  <si>
    <t>Julian Pleasants Travel Award</t>
  </si>
  <si>
    <t>travel</t>
  </si>
  <si>
    <t>"On a bi-yearly basis, the Samuel Proctor Oral History Program grants a researcher with the Julian Pleasants Travel Award, designed to promote cutting edge oral history research at the University of Florida and recognize innovative scholarship.... The award includes a stipend of $1,000. Competition is open to graduate students, faculty, and independent scholars at UF and throughout the United States."</t>
  </si>
  <si>
    <t>Travel Grants</t>
  </si>
  <si>
    <t>$5,000-15,000</t>
  </si>
  <si>
    <t>"The Pulitzer Center on Crisis Reporting provides travel grants to cover hard costs associated with upcoming travel for an international reporting project. Our goal is to facilitate reporting from outside the United States. We encourage grantees from diverse backgrounds to apply. We support projects across all media platforms and encourage ones that combine print, photography, radio, and video. While the vast majority of our grants go towards international projects, currently we are accepting proposals on topics that may have a domestic focus: mass incarceration and gun violence. In both cases we have an interest in stories with a domestic focus, or a purely international angle, or projects that draw comparisons between the United States and other countries."</t>
  </si>
  <si>
    <t>Research Travel Award</t>
  </si>
  <si>
    <t>"The Society for French Historical Studies and the Western Society for French History offer an annual award of $2,000 for research conducted outside North America on any aspect of the history of France. This award is granted to an outstanding American or Canadian scholar who has received the doctorate in history in the five-year period prior to the award (since January 2013 for the 2018 award)"</t>
  </si>
  <si>
    <t>Language and Area Studies
Germany and Austria</t>
  </si>
  <si>
    <t>"The Foundation supports initiatives which promote international understanding by sponsoring exchange programs between Germany, Austria and the United States such as post-doctoral research exchange programs, visiting faculty exchange programs, and exchange programs of undergraduate and graduate students both here and abroad."</t>
  </si>
  <si>
    <t>Sciences
Biomedical</t>
  </si>
  <si>
    <t>No new DEADLINE as of 10.30.18
"Grants must be used for domestic or international travel to another lab to learn new research techniques or begin or continue a collaboration to address biomedical questions.  All proposals must be cross-disciplinary.  Applicants with a doctoral degree in the physical, mathematical, or engineering sciences working on a biological problem are encouraged to apply.  Conversely, proposals from biological scientists who desire to collaborate with a physical scientist, mathematician, or engineer are also encouraged to apply."</t>
  </si>
  <si>
    <t>Sciences
Psychiatry</t>
  </si>
  <si>
    <t>"The training of a new generation of psychiatric academicians is a major objective of the Society of Biological Psychiatry (SOBP). Participation in professional meetings, where new information is exchanged and contacts are made, can have a critical impact on the career of a developing basic and clinician-scientist. In recognition of the importance of academic exchange, SOBP annually selects distinguished Early Career Investigators from North American institutions to be a part of our Travel Fellowship Award program. Travel Awards recognize excellence in scholarly activity by junior researchers by providing the opportunity to attend the annual meeting and participate in special programming for the awardees. These awards are supported by the Society of Biological Psychiatry and in part by Elsevier, publisher of the Society’s journals, Biological Psychiatry and Biological Psychiatry: Cognitive Neuroscience and Neuroimaging."</t>
  </si>
  <si>
    <t>"The Teaching Innovations &amp; Professional Development Award is designed to defray costs for an early career faculty member and a graduate student who wish to attend the STP (Division 2) programming at the American Psychological Association Convention."</t>
  </si>
  <si>
    <t>"The grant program is open only to STP members who meet the ECP definition below.  Grant funds can be used to defray the costs of attending psychology teaching conferences or conferences with a significant teaching of psychology component.
STP defines an Early Career Psychologist as an individual who is within ten (10) years post-graduate degree AND within ten (10) years of beginning teaching."</t>
  </si>
  <si>
    <t>Hayek Fund for Scholars</t>
  </si>
  <si>
    <t>travel
professional development</t>
  </si>
  <si>
    <t>"IHS’s Hayek Fund can offset or cover the cost of travel and conference fees for PhD students and non-tenured faculty including post-docs, visiting assistant professors, adjuncts, and tenure-track professors.
The Hayek Fund can help pay for activities including:
Presentations at academic or professional conferences
Travel to academic job interviews on a campus or at professional/academic conferences
Travel to archives or libraries for research
Submission of unpublished manuscripts to journals or book publishers
Participation in career-development or enhancing seminars
Collaborative research projects with a faculty member and aspiring academic
Purchase of data sets necessary for research
Hire a professor to review an article you are trying to publish
Hire a professor for job market support including application review, mock job interviews, etc.
Cover PhD program application fees"</t>
  </si>
  <si>
    <t>Cultural Exchange Fund</t>
  </si>
  <si>
    <t>Travel grant</t>
  </si>
  <si>
    <t>$2,000-10,000</t>
  </si>
  <si>
    <t>4/30/18 OTHER DEADLINE; rolling for summer travel
"The Cultural Exchange Fund (CEF) is a travel subsidy program supported by The Andrew W. Mellon Foundation that assists U.S.-based APAP members in building partnerships and collaborations outside of the U.S. and to experience the work of artists from around the world in its cultural context."</t>
  </si>
  <si>
    <t>travel grant</t>
  </si>
  <si>
    <t>"Travel grant applicants must reside more than 75 miles from Philadelphia to be eligible. No more than one travel grant per person per fiscal year (July 1 to June 30) can be awarded. Grants must be taken within one year of the award or the grantee must request an extension or reapply.
A travel grant application must contain a research proposal that also details how the applicant will make use of Science History Institute (formerly Chemical Heritage Foundation) collections (one page)."</t>
  </si>
  <si>
    <t>APA Travel Grants for US Psychologists to Attend International Conferences</t>
  </si>
  <si>
    <t>July 15, 2018 ; November 15, 2018 ; March 15, 2019  OTHER DEADLINES
"This award will cover or partially cover conference registration fees at international conferences held outside the United States and Canada for U.S.-based psychologists…. APA and APAGS members are eligible to apply. A conference presentation is not required, although preference will be given according to the following criteria.
1.        Significant contribution to the conference program (e.g., first author, symposium chair, roundtable moderator).
2.        Have not attended an international conference in the past two years.
3.        Early career or graduate student psychologist."</t>
  </si>
  <si>
    <t>Research Travel Grants Program</t>
  </si>
  <si>
    <t>March 15 and September 15, 2018  OTHER DEADLINE
"The Gerald R. Ford Presidential Foundation awards grants of up to $2,200 each in support of research in the holdings of the Gerald R. Ford Library. A grant defrays travel and living expenses of a research trip to the Ford Library. Overseas applicants are welcome to apply, but they will be responsible for the costs of travel between their home country and North America. The grants only cover travel within North America. 
Library collections focus on Federal policies, U.S. foreign relations, and national politics in the 1960s and 1970s. There are earlier and later materials depending upon your topic."</t>
  </si>
  <si>
    <t>travel grants</t>
  </si>
  <si>
    <t>$500-$1,000</t>
  </si>
  <si>
    <t>"The Endowment Fund of the Popular Culture Association was established in 1997 as a commitment to the long-term future of the study of popular culture.   Individuals may apply for only one grant in any category per yearly cycle. Applying for more than one grant in a single cycle will disqualify the applicant.  Applications will open around July 1, 2018 and will close on October 1, 2018.  Every effort will be made to inform applicants of the status of their applications by early January, 2019. For each of the travel awards for presenting at the national conference, the grants will be able to be picked up at the conference."</t>
  </si>
  <si>
    <t>Not specified</t>
  </si>
  <si>
    <t xml:space="preserve">“The Institute of Turkish Studies (ITS) will offer grants and fellowships in the field of Ottoman and Modern Turkish Studies to graduate students, post-doctoral scholars, universities, and other educational institutions through its Grants Program for the 2018-2019 academic year. The annual budget for the Grants Program has been significantly expanded and ITS encourages qualified applicants to apply for its grants:”
* Grants for the Publication of Scholarly Books and Journals to cover part of the publication costs of scholarly books and journals in the field of Turkish Studies to be published in the U.S. 
* Teaching Aids Grants for the development of instructional materials in the field of Turkish Studies, such as language teaching materials, maps, slides, etc.
* The Institute of Turkish Studies (ITS) invites scholars with research interests in Turkey currently employed by institutes of higher education in the United States to submit proposals to host an academic conference in conjunction with ITS.”  </t>
  </si>
  <si>
    <t>foreign policy and international relations</t>
  </si>
  <si>
    <t>$13500/month</t>
  </si>
  <si>
    <t>"The Kissinger Program establishes a non-partisan focus in the nation’s capital for the discussion of key issues in foreign affairs. The Program serves as a catalyst for the fresh analysis of foreign affairs in the global era by sustaining in perpetuity two appointments—the Kissinger Chair and the Kissinger Lecturer—and related programs that ensure that the subject of foreign affairs receives reflective and considered treatment each year in Washington, D.C."</t>
  </si>
  <si>
    <t>By invitation?</t>
  </si>
  <si>
    <t>"The Ms. Foundation Public Voices Fellowship is an initiative that was created to amplify the voices of the underrepresented by disrupting the dominant narrative featured in mainstream media.
The fellowship, which was launched by The OpEd Project in partnership with the nation’s leading universities and foundations, will provide a diverse cohort of 19 Ms. Foundation grantees with resources, skills, and access, in order to ensure their ideas shape not only their respective fields of reproductive and economic justice and safety, but also the greater conversations about gender in America."</t>
  </si>
  <si>
    <t>Sponsored Research Program</t>
  </si>
  <si>
    <t>"Stonewall grants strengthen the community. We invest in dynamic organizations, projects, and leaders that elevate LGBTQ people and our cultural contributions, advance our rights, and promote our wellness, safety, and liberation."</t>
  </si>
  <si>
    <t>full-time professor</t>
  </si>
  <si>
    <t>The Alliance Call for Joint Projects is open to full-time officers of instruction of professorial rank, from all disciplines at Columbia University, École Polytechnique, Sciences Po, and Paris Panthéon-Sorbonne University. Projects must be presented jointly by at least one faculty member from Columbia University and one faculty member from any one of the three French institutions. Third parties may be part of the Joint Project team as long as the team includes at least one faculty member from Columbia University and at least one faculty member from any one of the three French institutions. The Alliance Program will fund projects up to $15,000 for travel, materials, technological support, and other expenses in the design/implementation of the project. The grant cannot be used for salary, stipends, Per Diem, or teaching-assistant wages. Special consideration will be given to those projects which aim to promote sustainable relationships between departments or schools in the Alliance network.</t>
  </si>
  <si>
    <t>Science of Learning</t>
  </si>
  <si>
    <t>OTHER DEADLIENE:  January 16
"The Science of Learning program supports potentially transformative basic research to advance the science of learning. The goals of the SL Program are to develop basic theoretical insights and fundamental knowledge about learning principles, processes and constraints. Projects that are integrative and/or interdisciplinary may be especially valuable in moving basic understanding of learning forward but research with a single discipline or methodology is also appropriate if it addresses basic scientific questions in learning.   The possibility of developing connections between proposed research and specific scientific, technological, educational, and workforce challenges will be considered as valuable broader impacts, but are not necessarily central to the intellectual merit of proposed research. The program will support  research addressing learning in a wide range of domains at one or more levels of analysis including: molecular/cellular mechanisms; brain systems; cognitive affective, and behavioral processes; and social/cultural influences. The program supports a variety of methods including: experiments, field studies, surveys, secondary-data analyses, and modeling."</t>
  </si>
  <si>
    <t>Henry Belin Du Pont Research Grants &amp; Exploratory Research Grants</t>
  </si>
  <si>
    <t>OTHER DEADLINES:  3/31/18, 6/30/18, 10/31/18
"Administered by the Center for the History of Business, Technology and Society, Hagley invites serious researchers to apply for one of our grants to defray the costs of an extended stay intended to use our collections.
All grants require applicants to explain how their project will contribute new information to previous scholarship and how Hagley’s research materials are pertinent to their project.
Exploratory grants are limited to one week and Henry Belin du Pont research grants may be up to 8 weeks. Researchers who first apply for an exploratory grant may ask for a longer research grant if our collections warrant more attention. Anyone can apply for one of these research grants, but only advanced graduate students are eligible for our Henry Belin du Pont dissertation grant and the Jefferson Scholars/Hagley Library fellowship.  Scholars with a Ph.D. may also apply for a four- or eight-month NEH-Hagley Postdoctoral Fellowship."</t>
  </si>
  <si>
    <t>Bob Williams History Fund Research Grant Award</t>
  </si>
  <si>
    <t>"The Bob Williams History Fund was created for the purposes of supporting and encouraging research and publication in the history of information science and technology."</t>
  </si>
  <si>
    <t>The Michael G. Karni Scholarship</t>
  </si>
  <si>
    <t>"The Michael G. Karni Scholarship supports visiting professors, lecturers, or graduate students from the United States or abroad using the archival sources of the University of Minnesota’s Immigration History Research Center Archives (IHRC Archives), with first preference on projects using the Finnish American collection and second preference on project using the Baltic collections (i.e., Estonian, Latvian, Lithuanian)."</t>
  </si>
  <si>
    <t>Individual Grants</t>
  </si>
  <si>
    <t>Letters of intent accepted at November deadline
"Since its inception in 1963 as the Asian Cultural Program of the JDR 3rd Fund, ACC has operated a program of long-term, immersive fellowships and shorter-term grants for individual artists, scholars, and arts and humanities professionals who wish to pursue specialized training not available in their home countries; find new creative inspiration through travel, research, and exploration; or pursue targeted research projects aligned with ACC's mission of advancing international understanding."</t>
  </si>
  <si>
    <t xml:space="preserve">Rolling </t>
  </si>
  <si>
    <t>Grant for Japanese Studies</t>
  </si>
  <si>
    <t>"This grant aims to support projects that will enhance further understanding of Japan through academic exploration (there is a separate JFNY Grant for Arts and Culture). Such projects generally take the form of conferences, colloquia, symposia, presentations, and lectures within the United States. Successful projects may be granted up to $5,000. Priority will be given to those projects that have secured additional funding from sources other than the Japan Foundation."</t>
  </si>
  <si>
    <t>Grant for Art and Culture</t>
  </si>
  <si>
    <t>"This grant aims to support projects that will further understanding of Japanese arts and culture. Successful projects may be granted up to $5,000. Priority will be given to those projects that have secured additional funding from sources other than the Japan Foundation."</t>
  </si>
  <si>
    <t>science</t>
  </si>
  <si>
    <t>$13,500/month</t>
  </si>
  <si>
    <t>"The Baruch S. Blumberg NASA/Library of Congress Astrobiology Program establishes a focus in the nation’s capital for the exploration of issues surrounding life’s future in the universe, for humans and other species, on Earth and beyond. The program encourages discussion and reflection on the potential impacts of discovering whether there is life beyond our planet. One researcher is appointed annually to be in residence at The John W. Kluge Center, to make use of the Library of Congress collections, as well as to convene programs that ensure the subject of astrobiology’s role in culture and society receives considered treatment each year in Washington, D.C."</t>
  </si>
  <si>
    <t>"The Center for Science and Society at Columbia University invites proposals for the development of new undergraduate and graduate curricular offerings in the study of science and society. The aim is to introduce courses that can be offered within current departmental structures, or as part of already-existing majors and concentrations, that bring significant discussion of science and society into these offerings."</t>
  </si>
  <si>
    <t>"waiting for new publication"</t>
  </si>
  <si>
    <t>Chemical Catalysis</t>
  </si>
  <si>
    <t xml:space="preserve">"The Chemical Catalysis Program supports experimental and computational research directed towards the fundamental understanding of the chemistry of catalytic processes.  The CAT Program accepts proposals on catalytic approaches, which facilitate, direct, and accelerate efficient chemical transformations.  The program scope includes the design and synthesis of catalytic species on the molecular, supramolecular, and nanometer scales as well as mechanistic studies primarily focused on discovery, development, or improvement of homogeneous and heterogeneous catalytic processes.  </t>
  </si>
  <si>
    <t>"Advanced computational infrastructure and the ability to perform large-scale simulations and accumulate massive amounts of data have revolutionized scientific and engineering disciplines.  The goal of the CDS&amp;E program is to identify and capitalize on opportunities for major scientific and engineering breakthroughs through new computational and data analysis approaches.  The intellectual drivers may be in an individual discipline or they may cut across more than one discipline in various Directorates.  The key identifying factor is that the outcome relies on the development, adaptation, and utilization of one or more of the capabilities offered by advancement of both research and infrastructure in computation and data, either through cross-cutting or disciplinary programs."</t>
  </si>
  <si>
    <t>"Advanced computational infrastructure and the ability to perform large-scale simulations and accumulate massive amounts of data have revolutionized scientific and engineering disciplines.  The goal of the CDS&amp;E program is to identify and capitalize on opportunities for major scientific and engineering breakthroughs through new computational and data analysis approaches.  The intellectual drivers may be in an individual discipline or they may cut across more than one discipline in various Directorates.  The key identifying factor is that the outcome relies on the development, adaptation, and utilization of one or more of the capabilities offered by advancement of both research and infrastructure in computation and data, either through cross-cutting or disciplinary programs. "</t>
  </si>
  <si>
    <t>Computational and Data-Enabled Science and Engineering Division of Mathematical Sciences</t>
  </si>
  <si>
    <t>"The CDS&amp;E-MSS program accepts proposals that confront and embrace the host of mathematical and statistical challenges presented to the scientific and engineering communities by the ever-expanding role of computational modeling and simulation on the one hand, and the explosion in production of digital and observational data on the other. The goal of the program is to promote the creation and development of the next generation of mathematical and statistical theories and tools that will be essential for addressing such issues. To this end, the program will support fundamental research in mathematics and statistics whose primary emphasis will be on meeting the aforementioned computational and data-related challenges. This program is part of the wider Computational and Data-enabled Science and Engineering (CDS&amp;E) enterprise in NSF that seeks to address this emerging discipline."</t>
  </si>
  <si>
    <t xml:space="preserve">Sciences
Environmental Biology </t>
  </si>
  <si>
    <t>August 5, 2019 OTHER DEADLINE
"The OPUS program seeks to provide opportunities for mid- to later-career investigators to develop new understanding of science in the fields supported by the Division of Environmental Biology (DEB) through two tracks of synthesis activities.
OPUS: Mid-Career Synthesis. This track provides an opportunity for a mid-career researcher, defined as a candidate at the associate professor rank (or equivalent) to enable a new synthesis of their ongoing research. Synthesis is achieved by developing new research capabilities through collaboration with a mentor to enable new understanding of their research system and questions of interest. This track aims to provide mid-career scientists with new capabilities to enhance their productivity, improve their retention as scientists, and ensure a diverse scientific workforce that remains engaged in active research (including more women and minorities at high academic ranks).
OPUS: Core Research Synthesis. This track provides an opportunity for an individual or a group of investigators to revisit and synthesize a significant body of their prior research in a way that will enable new understanding of their research system and questions of interest. This track would also be appropriate early enough in a career to produce unique, integrated insight useful both to the scientific community and to the development of the investigator's future career.
All four clusters within the Division of Environmental Biology (Ecosystem Science, Evolutionary Processes, Population and Community Ecology, and Systematics and Biodiversity Science) encourage the submission of these proposals enabling researchers to expand understanding and develop new insights in their research."</t>
  </si>
  <si>
    <t>International Development Grant</t>
  </si>
  <si>
    <t>"Two to four $1,000 International Development Grants will be distributed annually to persons or organizations interested in developing behavior analysis internationally. In order to promote behavior analysis on a worldwide scale, we hope to increase opportunities for people and organizations that do not have the necessary resources to expand important information and knowledge."</t>
  </si>
  <si>
    <t>"The San Francisco-based Ploughshares Fund supports organizations and individuals working to build a safe, secure, nuclear weapons-free world. To that end, grants will be awarded to projects that promote the reduction and eventual elimination of nuclear weapons, prevent the emergence of new nuclear states, and/or build regional peace and security.
1) Promote the Reduction and Eventual Elimination of Nuclear Weapons: The fund works to build a common understanding among world leaders that nuclear weapons are unacceptable. It helps leaders take concrete steps to reduce current arsenals and limit future ones, all to achieve a planet where nuclear weapons can never be used again.
2) Prevent the Emergence of New Nuclear States. Iran and North Korea have been the biggest threats to containing nuclear weapons. The lasting solution will not be a military one. Diplomacy and engagement — always grounded in data and strategic analysis — can solve these problems. It takes hard work and intelligence, both of which require funding. 
3) Build Regional Peace and Security. Longstanding and unresolved tensions between nuclear-armed India and Pakistan make South Asia one of the most dangerous places on earth. The fund's partners work to transform the region with fact-finding missions, on-the-ground analysis, high-level dialogue, confidence-building measures, and more.
The fund does not provide scholarships or support for the production of films, videos, books, art projects, or the research and writing of academic dissertations."</t>
  </si>
  <si>
    <t>5/24/18, OTHER DEADLINE 
"The Russell Sage Foundation’s initiative on Computational Social Science (CSS) supports innovative social science research that brings new data and methods to bear on questions of interest in its core programs in Behavioral Economics, Future of Work, Race, Ethnicity and Immigration, and Social Inequality. Limited consideration will be given to questions that pertain to core methodologies, such as causal inference and innovations in data collection."</t>
  </si>
  <si>
    <t>OTHER DEADLINE: June 15
"The goal of this award is to nurture the development of scientific knowledge by funding small, groundbreaking research initiatives that will advance the discipline. FAD awards provide scholars with “seed money” for innovative research that provides opportunities for substantive and methodological breakthroughs, broadens the dissemination of scientific knowledge, and provides leverage for acquisition of additional research funds."</t>
  </si>
  <si>
    <t>$500-2,500</t>
  </si>
  <si>
    <t>"Open to both collegiate and pre-collegiate teachers of classics. SCS membership is not required. Possible projects include, but are not limited to, the following: attendance at a professional conference, purchase of teaching materials, study abroad. Projects that received funding in the last three years are briefly described"</t>
  </si>
  <si>
    <t>"To support projects pertaining to the archaeology of Portugal, to be conducted between July 1 of the award year and the following June 30. These include, but are not limited to, research projects, colloquia, symposia, publication, and travel for research or to academic meetings for the purpose of presenting papers on the archaeology of Portugal.  AIA fellowship funds may not be used for institutional overhead, institutional administrative recovery costs, or institutional indirect costs. To be eligible, applicants must have been AIA members in good standing for at least two consecutive years (one year for graduate students). Portuguese, American, and other international scholars are invited to apply."</t>
  </si>
  <si>
    <t>$250-2,000</t>
  </si>
  <si>
    <r>
      <t xml:space="preserve">3/15/19 OTHER DEADLINE
"ACL wants to help our members enhance their teaching by encouraging them to travel, take courses, attend professional meetings, and engage in professional development that is concerned with Latin, Greek and the ancient world where these languages prevailed." "ACL members at all levels of teaching are eligible to apply. Must be a member of ACL for at least 3 consecutive years, including this current year and the two preceding years. ACL scholarship recipients may apply every 4 years"
"Funded Activities: registration, room, board and travel for attendeance at ACL Institute; purchase of materials from the ACL Teaching Materials and Resource Center; Expenses connected with enrollment in classes required for Latin Certification; </t>
    </r>
    <r>
      <rPr>
        <i/>
        <sz val="11"/>
        <rFont val="Calibri"/>
      </rPr>
      <t>Bona fide</t>
    </r>
    <r>
      <rPr>
        <sz val="11"/>
        <color rgb="FF000000"/>
        <rFont val="Calibri"/>
      </rPr>
      <t xml:space="preserve"> summer study programs at home or abroad"</t>
    </r>
  </si>
  <si>
    <t>"The Classical Association of the Middle West and South annually awards three $2000.00 scholarships for participation in summer excavation or field school at an archaeological site in the Greco-Roman world.  These awards may support individuals engaged in any stage of the work, including physical excavation, illustration, digital recording, faunal and ceramic analysis.  One of these awards is named in honor of former CAMWS president Peter Knox of Case Western University. Generally, one award will be made to at least one graduate student and another to an undergraduate, but teachers at all levels of instruction are also eligible for this award. Professional archaeologists are not eligible for this award. "</t>
  </si>
  <si>
    <t>STEM
Arts &amp; Humanities
Social Science</t>
  </si>
  <si>
    <t>full-time faculty</t>
  </si>
  <si>
    <t>The PSSN Program will offer annual seed/pilot grants to enable collaboration between Columbia and Barnard faculty in the humanities, arts, or social sciences, and faculty in the natural sciences whose primary focus is the empirical study of mind, brain, and behavior.  This request for proposals is open to all full-time faculty at Columbia University and Barnard College that contribute to these interdisciplinary goals. Non-faculty applications may be reviewed on a case-by- case basis with at least one faculty member serving as co-investigator.</t>
  </si>
  <si>
    <t>program currently suspended</t>
  </si>
  <si>
    <t>Founded in 1980, the Milton and Sally Avery Arts Foundation is committed to supporting institutions and projects in the arts and arts education; the Foundation does not provide grants to individuals. There are neither formal submission guidelines, nor scheduled deadlines. At this time, new proposals are not being considered.</t>
  </si>
  <si>
    <t>Purpose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</si>
</sst>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quot;/&quot;d&quot;/&quot;yy"/>
    <numFmt numFmtId="165" formatCode="m/d/yy"/>
    <numFmt numFmtId="166" formatCode="&quot;$&quot;#,##0"/>
    <numFmt numFmtId="170" formatCode="&quot;$&quot;#,##0.00"/>
    <numFmt numFmtId="173" formatCode="[$€]#,##0.00"/>
  </numFmts>
  <fonts count="45">
    <font>
      <sz val="11"/>
      <color rgb="FF000000"/>
      <name val="Calibri"/>
    </font>
    <font>
      <b/>
      <sz val="10"/>
      <color rgb="FF000000"/>
      <name val="Calibri"/>
    </font>
    <font>
      <sz val="10"/>
      <name val="Calibri"/>
    </font>
    <font>
      <u/>
      <sz val="10"/>
      <color rgb="FF366092"/>
      <name val="Calibri"/>
    </font>
    <font>
      <sz val="10"/>
      <color rgb="FF366092"/>
      <name val="Calibri"/>
    </font>
    <font>
      <u/>
      <sz val="10"/>
      <color rgb="FF366092"/>
      <name val="Calibri"/>
    </font>
    <font>
      <sz val="10"/>
      <color rgb="FF000000"/>
      <name val="Calibri"/>
    </font>
    <font>
      <sz val="10"/>
      <name val="Calibri"/>
    </font>
    <font>
      <sz val="10"/>
      <color rgb="FF3366CC"/>
      <name val="Calibri"/>
    </font>
    <font>
      <sz val="10"/>
      <color rgb="FF0070C0"/>
      <name val="Calibri"/>
    </font>
    <font>
      <u/>
      <sz val="10"/>
      <color rgb="FF0070C0"/>
      <name val="Calibri"/>
    </font>
    <font>
      <u/>
      <sz val="10"/>
      <color rgb="FF366092"/>
      <name val="Calibri"/>
    </font>
    <font>
      <u/>
      <sz val="10"/>
      <color rgb="FF366092"/>
      <name val="Calibri"/>
    </font>
    <font>
      <sz val="11"/>
      <name val="Calibri"/>
    </font>
    <font>
      <u/>
      <sz val="10"/>
      <color rgb="FF0070C0"/>
      <name val="Calibri"/>
    </font>
    <font>
      <u/>
      <sz val="10"/>
      <color rgb="FF366092"/>
      <name val="Calibri"/>
    </font>
    <font>
      <u/>
      <sz val="10"/>
      <color rgb="FF000000"/>
      <name val="Calibri"/>
    </font>
    <font>
      <u/>
      <sz val="10"/>
      <color rgb="FF000000"/>
      <name val="Calibri"/>
    </font>
    <font>
      <sz val="10"/>
      <color rgb="FF777777"/>
      <name val="Arial"/>
    </font>
    <font>
      <u/>
      <sz val="10"/>
      <color rgb="FF777777"/>
      <name val="Arial"/>
    </font>
    <font>
      <u/>
      <sz val="10"/>
      <color rgb="FF0000FF"/>
      <name val="Calibri"/>
    </font>
    <font>
      <u/>
      <sz val="10"/>
      <color rgb="FF000000"/>
      <name val="Arial"/>
    </font>
    <font>
      <u/>
      <sz val="10"/>
      <color rgb="FF0070C0"/>
      <name val="Calibri"/>
    </font>
    <font>
      <u/>
      <sz val="11"/>
      <color rgb="FF366092"/>
      <name val="Docs-Calibri"/>
    </font>
    <font>
      <u/>
      <sz val="10"/>
      <color rgb="FF366092"/>
      <name val="Calibri"/>
    </font>
    <font>
      <u/>
      <sz val="10"/>
      <color rgb="FF0000FF"/>
      <name val="Calibri"/>
    </font>
    <font>
      <sz val="10"/>
      <color rgb="FF333333"/>
      <name val="Calibri"/>
    </font>
    <font>
      <u/>
      <sz val="10"/>
      <color rgb="FF0000FF"/>
      <name val="Calibri"/>
    </font>
    <font>
      <u/>
      <sz val="10"/>
      <color rgb="FF464646"/>
      <name val="Calibri"/>
    </font>
    <font>
      <u/>
      <sz val="10"/>
      <color rgb="FF003366"/>
      <name val="Calibri"/>
    </font>
    <font>
      <u/>
      <sz val="10"/>
      <color rgb="FF003366"/>
      <name val="Calibri"/>
    </font>
    <font>
      <u/>
      <sz val="10"/>
      <color rgb="FF333333"/>
      <name val="Calibri"/>
    </font>
    <font>
      <u/>
      <sz val="10"/>
      <color rgb="FF366092"/>
      <name val="Calibri"/>
    </font>
    <font>
      <u/>
      <sz val="10"/>
      <color rgb="FF366092"/>
      <name val="Calibri"/>
    </font>
    <font>
      <b/>
      <sz val="10"/>
      <name val="Calibri"/>
    </font>
    <font>
      <b/>
      <u/>
      <sz val="10"/>
      <color rgb="FF0000FF"/>
      <name val="Calibri"/>
    </font>
    <font>
      <sz val="11"/>
      <color rgb="FF000000"/>
      <name val="Calibri"/>
    </font>
    <font>
      <u/>
      <sz val="10"/>
      <color rgb="FF366092"/>
      <name val="Calibri"/>
    </font>
    <font>
      <u/>
      <sz val="11"/>
      <color rgb="FF000000"/>
      <name val="Docs-Calibri"/>
    </font>
    <font>
      <u/>
      <sz val="10"/>
      <color rgb="FF0070C0"/>
      <name val="Calibri"/>
    </font>
    <font>
      <u/>
      <sz val="10"/>
      <color rgb="FF333333"/>
      <name val="Calibri"/>
    </font>
    <font>
      <u/>
      <sz val="10"/>
      <color rgb="FF366092"/>
      <name val="Calibri"/>
    </font>
    <font>
      <b/>
      <sz val="11"/>
      <name val="Calibri"/>
    </font>
    <font>
      <i/>
      <sz val="11"/>
      <name val="Calibri"/>
    </font>
    <font>
      <b/>
      <sz val="10"/>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D0E0E3"/>
        <bgColor rgb="FFD0E0E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7">
    <xf numFmtId="0" fontId="0" fillId="0" borderId="0" xfId="0" applyFont="1" applyAlignment="1"/>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xf>
    <xf numFmtId="165"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6" fontId="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164" fontId="13"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14" fillId="0" borderId="1" xfId="0" applyFont="1" applyBorder="1" applyAlignment="1">
      <alignment horizontal="center" vertical="center" wrapText="1"/>
    </xf>
    <xf numFmtId="165" fontId="2"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66" fontId="6" fillId="0" borderId="1" xfId="0" applyNumberFormat="1" applyFont="1" applyBorder="1" applyAlignment="1">
      <alignment horizontal="left" vertical="center" wrapText="1"/>
    </xf>
    <xf numFmtId="0" fontId="6" fillId="0" borderId="1" xfId="0" applyFont="1" applyBorder="1" applyAlignment="1">
      <alignment horizontal="center" vertical="center"/>
    </xf>
    <xf numFmtId="0" fontId="16" fillId="0" borderId="1" xfId="0" applyFont="1" applyBorder="1" applyAlignment="1">
      <alignment horizontal="center" vertical="center"/>
    </xf>
    <xf numFmtId="0" fontId="7" fillId="0" borderId="1" xfId="0" applyFont="1" applyBorder="1"/>
    <xf numFmtId="0" fontId="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lignment wrapText="1"/>
    </xf>
    <xf numFmtId="0" fontId="6" fillId="0" borderId="1" xfId="0" applyFont="1" applyBorder="1" applyAlignment="1">
      <alignment horizontal="left" vertical="center" wrapText="1"/>
    </xf>
    <xf numFmtId="165"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2"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70"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wrapText="1"/>
    </xf>
    <xf numFmtId="0" fontId="27" fillId="0" borderId="1" xfId="0" applyFont="1" applyBorder="1" applyAlignment="1">
      <alignment horizontal="center" vertical="center" wrapText="1"/>
    </xf>
    <xf numFmtId="0" fontId="2" fillId="0" borderId="1" xfId="0" applyFont="1" applyBorder="1" applyAlignment="1">
      <alignment wrapText="1"/>
    </xf>
    <xf numFmtId="0" fontId="28"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29" fillId="0" borderId="1" xfId="0" applyFont="1" applyBorder="1" applyAlignment="1">
      <alignment horizontal="center" vertical="center" wrapText="1"/>
    </xf>
    <xf numFmtId="173" fontId="6" fillId="0" borderId="1" xfId="0" applyNumberFormat="1" applyFont="1" applyBorder="1" applyAlignment="1">
      <alignment horizontal="center" vertical="center" wrapText="1"/>
    </xf>
    <xf numFmtId="0" fontId="30" fillId="0" borderId="1" xfId="0" applyFont="1" applyBorder="1" applyAlignment="1">
      <alignment horizontal="center" vertical="center"/>
    </xf>
    <xf numFmtId="164" fontId="2" fillId="0" borderId="1" xfId="0" applyNumberFormat="1" applyFont="1" applyBorder="1" applyAlignment="1">
      <alignment horizontal="center" vertical="center" wrapText="1"/>
    </xf>
    <xf numFmtId="0" fontId="6" fillId="0" borderId="1" xfId="0" applyFont="1" applyBorder="1" applyAlignment="1">
      <alignment horizontal="left" wrapText="1"/>
    </xf>
    <xf numFmtId="164" fontId="13" fillId="0" borderId="1" xfId="0" applyNumberFormat="1" applyFont="1" applyBorder="1" applyAlignment="1"/>
    <xf numFmtId="166" fontId="2"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164" fontId="2" fillId="3" borderId="1" xfId="0" applyNumberFormat="1" applyFont="1" applyFill="1" applyBorder="1" applyAlignment="1">
      <alignment horizontal="center" vertical="center" wrapText="1"/>
    </xf>
    <xf numFmtId="0" fontId="3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3" fillId="0" borderId="1" xfId="0" applyFont="1" applyBorder="1"/>
    <xf numFmtId="0" fontId="6" fillId="0" borderId="1" xfId="0" applyFont="1" applyBorder="1" applyAlignment="1">
      <alignment wrapText="1"/>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26" fillId="2" borderId="1" xfId="0" applyFont="1" applyFill="1" applyBorder="1" applyAlignment="1">
      <alignment wrapText="1"/>
    </xf>
    <xf numFmtId="164" fontId="36"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xf>
    <xf numFmtId="0" fontId="39" fillId="2" borderId="1" xfId="0" applyFont="1" applyFill="1" applyBorder="1" applyAlignment="1">
      <alignment horizontal="center" vertical="center" wrapText="1"/>
    </xf>
    <xf numFmtId="165" fontId="2" fillId="0" borderId="1" xfId="0" applyNumberFormat="1" applyFont="1" applyBorder="1" applyAlignment="1">
      <alignment horizontal="left" vertical="center" wrapText="1"/>
    </xf>
    <xf numFmtId="0" fontId="26" fillId="0" borderId="1" xfId="0" applyFont="1" applyBorder="1" applyAlignment="1">
      <alignment horizontal="center" vertical="center"/>
    </xf>
    <xf numFmtId="0" fontId="40" fillId="0" borderId="1" xfId="0" applyFont="1" applyBorder="1" applyAlignment="1">
      <alignment horizontal="center" vertical="center"/>
    </xf>
    <xf numFmtId="165" fontId="2"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0" xfId="0" applyFont="1" applyFill="1" applyAlignment="1"/>
    <xf numFmtId="164" fontId="2" fillId="0" borderId="0"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4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eh.gov/grants/odh/institutes-advanced-topics-in-the-digital-humanities" TargetMode="External"/><Relationship Id="rId21" Type="http://schemas.openxmlformats.org/officeDocument/2006/relationships/hyperlink" Target="https://nyscf.org/programs/extramural-grants/applicants/neuroscience-investigator-awards/" TargetMode="External"/><Relationship Id="rId42" Type="http://schemas.openxmlformats.org/officeDocument/2006/relationships/hyperlink" Target="https://www.obama.org/fellowship/" TargetMode="External"/><Relationship Id="rId63" Type="http://schemas.openxmlformats.org/officeDocument/2006/relationships/hyperlink" Target="http://libguides.niu.edu/rarebooks/fellowships" TargetMode="External"/><Relationship Id="rId84" Type="http://schemas.openxmlformats.org/officeDocument/2006/relationships/hyperlink" Target="http://www.huri.harvard.edu/fellowships-grants-internships/fellows-ukrstudies.html" TargetMode="External"/><Relationship Id="rId138" Type="http://schemas.openxmlformats.org/officeDocument/2006/relationships/hyperlink" Target="http://pkf.org/our-grants/" TargetMode="External"/><Relationship Id="rId159" Type="http://schemas.openxmlformats.org/officeDocument/2006/relationships/hyperlink" Target="http://www.cckf.org/en/programs" TargetMode="External"/><Relationship Id="rId170" Type="http://schemas.openxmlformats.org/officeDocument/2006/relationships/hyperlink" Target="https://bbrfoundation.org/" TargetMode="External"/><Relationship Id="rId191" Type="http://schemas.openxmlformats.org/officeDocument/2006/relationships/hyperlink" Target="https://www.nsf.gov/funding/pgm_summ.jsp?pims_id=505058" TargetMode="External"/><Relationship Id="rId205" Type="http://schemas.openxmlformats.org/officeDocument/2006/relationships/hyperlink" Target="http://www.nsf.gov/funding/pgm_summ.jsp?pims_id=5437&amp;org=SES&amp;from=home" TargetMode="External"/><Relationship Id="rId226" Type="http://schemas.openxmlformats.org/officeDocument/2006/relationships/hyperlink" Target="http://www.pmi.org/learning/academic-research/sponsored-research-program.aspx" TargetMode="External"/><Relationship Id="rId107" Type="http://schemas.openxmlformats.org/officeDocument/2006/relationships/hyperlink" Target="http://www.cies.org/program/core-fulbright-us-scholar-program" TargetMode="External"/><Relationship Id="rId11" Type="http://schemas.openxmlformats.org/officeDocument/2006/relationships/hyperlink" Target="http://www.vilcek.org/prizes/creative-promise/index.html" TargetMode="External"/><Relationship Id="rId32" Type="http://schemas.openxmlformats.org/officeDocument/2006/relationships/hyperlink" Target="https://wcfia.harvard.edu/funding/faculty/huntington_prize" TargetMode="External"/><Relationship Id="rId53" Type="http://schemas.openxmlformats.org/officeDocument/2006/relationships/hyperlink" Target="https://www.nga.gov/research/casva/fellowships/senior-fellowships.html" TargetMode="External"/><Relationship Id="rId74" Type="http://schemas.openxmlformats.org/officeDocument/2006/relationships/hyperlink" Target="https://clags.org/scholar-in-residence-fellowship/" TargetMode="External"/><Relationship Id="rId128" Type="http://schemas.openxmlformats.org/officeDocument/2006/relationships/hyperlink" Target="http://www.midatlanticarts.org/usartists-international/" TargetMode="External"/><Relationship Id="rId149" Type="http://schemas.openxmlformats.org/officeDocument/2006/relationships/hyperlink" Target="http://www.neh.gov/grants/research/public-scholar-program" TargetMode="External"/><Relationship Id="rId5" Type="http://schemas.openxmlformats.org/officeDocument/2006/relationships/hyperlink" Target="https://asecs.press.jhu.edu/Weekly%20Announcements/gottschalk1.html" TargetMode="External"/><Relationship Id="rId95" Type="http://schemas.openxmlformats.org/officeDocument/2006/relationships/hyperlink" Target="https://casbs.stanford.edu/fellowship-application-guidelines-and-selection-process" TargetMode="External"/><Relationship Id="rId160" Type="http://schemas.openxmlformats.org/officeDocument/2006/relationships/hyperlink" Target="http://rockarch.org/grants/generalgia.php" TargetMode="External"/><Relationship Id="rId181" Type="http://schemas.openxmlformats.org/officeDocument/2006/relationships/hyperlink" Target="http://www.hfsp.org/funding" TargetMode="External"/><Relationship Id="rId216" Type="http://schemas.openxmlformats.org/officeDocument/2006/relationships/hyperlink" Target="https://www.simonsfoundation.org/grant/targeted-grants-in-mps/" TargetMode="External"/><Relationship Id="rId237" Type="http://schemas.openxmlformats.org/officeDocument/2006/relationships/hyperlink" Target="https://www.nsf.gov/funding/pgm_summ.jsp?pims_id=503418" TargetMode="External"/><Relationship Id="rId22" Type="http://schemas.openxmlformats.org/officeDocument/2006/relationships/hyperlink" Target="http://www.vilcek.org/prizes/creative-promise/index.html" TargetMode="External"/><Relationship Id="rId43" Type="http://schemas.openxmlformats.org/officeDocument/2006/relationships/hyperlink" Target="https://www.aauw.org/what-we-do/educational-funding-and-awards/american-fellowships/af-postdoctoral-research-application/" TargetMode="External"/><Relationship Id="rId64" Type="http://schemas.openxmlformats.org/officeDocument/2006/relationships/hyperlink" Target="https://rework.hu-berlin.de/en/fellowships.html" TargetMode="External"/><Relationship Id="rId118" Type="http://schemas.openxmlformats.org/officeDocument/2006/relationships/hyperlink" Target="https://www.neh.gov/grants/education/humanities-connections-planning-grants" TargetMode="External"/><Relationship Id="rId139" Type="http://schemas.openxmlformats.org/officeDocument/2006/relationships/hyperlink" Target="http://www.neh.gov/grants/research/neh-mellon-fellowships-digital-publication" TargetMode="External"/><Relationship Id="rId80" Type="http://schemas.openxmlformats.org/officeDocument/2006/relationships/hyperlink" Target="http://www.archives.nysed.gov/grants/hackman" TargetMode="External"/><Relationship Id="rId85" Type="http://schemas.openxmlformats.org/officeDocument/2006/relationships/hyperlink" Target="http://www.apap365.org/" TargetMode="External"/><Relationship Id="rId150" Type="http://schemas.openxmlformats.org/officeDocument/2006/relationships/hyperlink" Target="https://www.gerda-henkel-stiftung.de/?page_id=74867" TargetMode="External"/><Relationship Id="rId155" Type="http://schemas.openxmlformats.org/officeDocument/2006/relationships/hyperlink" Target="https://www.spencer.org/lyle-spencer-research-awards" TargetMode="External"/><Relationship Id="rId171" Type="http://schemas.openxmlformats.org/officeDocument/2006/relationships/hyperlink" Target="http://www.hfsp.org/funding/research-grants/information-and-guidelines" TargetMode="External"/><Relationship Id="rId176" Type="http://schemas.openxmlformats.org/officeDocument/2006/relationships/hyperlink" Target="http://grants.nih.gov/grants/funding/area.htm" TargetMode="External"/><Relationship Id="rId192" Type="http://schemas.openxmlformats.org/officeDocument/2006/relationships/hyperlink" Target="https://www.nsf.gov/funding/pgm_summ.jsp?pims_id=503535" TargetMode="External"/><Relationship Id="rId197" Type="http://schemas.openxmlformats.org/officeDocument/2006/relationships/hyperlink" Target="http://www.nsf.gov/funding/pgm_summ.jsp?pims_id=5712" TargetMode="External"/><Relationship Id="rId206" Type="http://schemas.openxmlformats.org/officeDocument/2006/relationships/hyperlink" Target="http://www.nsf.gov/funding/pgm_summ.jsp?pims_id=5324" TargetMode="External"/><Relationship Id="rId227" Type="http://schemas.openxmlformats.org/officeDocument/2006/relationships/hyperlink" Target="https://www.stonewallfoundation.org/grants/" TargetMode="External"/><Relationship Id="rId201" Type="http://schemas.openxmlformats.org/officeDocument/2006/relationships/hyperlink" Target="https://www.russellsage.org/research/behavioral-economics" TargetMode="External"/><Relationship Id="rId222" Type="http://schemas.openxmlformats.org/officeDocument/2006/relationships/hyperlink" Target="https://theihs.org/funding/hayekfund/" TargetMode="External"/><Relationship Id="rId12" Type="http://schemas.openxmlformats.org/officeDocument/2006/relationships/hyperlink" Target="http://iris.isr.umich.edu/research-data/grants/" TargetMode="External"/><Relationship Id="rId17" Type="http://schemas.openxmlformats.org/officeDocument/2006/relationships/hyperlink" Target="http://gruber.yale.edu/genetics" TargetMode="External"/><Relationship Id="rId33" Type="http://schemas.openxmlformats.org/officeDocument/2006/relationships/hyperlink" Target="http://www.apsanet.org/section-34-robert-l-jervis-and-paul-w-schroeder-best-book-award" TargetMode="External"/><Relationship Id="rId38" Type="http://schemas.openxmlformats.org/officeDocument/2006/relationships/hyperlink" Target="https://clags.org/fellowships-and-awards3/" TargetMode="External"/><Relationship Id="rId59" Type="http://schemas.openxmlformats.org/officeDocument/2006/relationships/hyperlink" Target="http://www.crassh.cam.ac.uk/programmes/balzan-skinner-fellowship" TargetMode="External"/><Relationship Id="rId103" Type="http://schemas.openxmlformats.org/officeDocument/2006/relationships/hyperlink" Target="https://nhfp.stsci.edu/" TargetMode="External"/><Relationship Id="rId108" Type="http://schemas.openxmlformats.org/officeDocument/2006/relationships/hyperlink" Target="https://www.nature.org/science-in-action/naturenet-science-fellowship.xml" TargetMode="External"/><Relationship Id="rId124" Type="http://schemas.openxmlformats.org/officeDocument/2006/relationships/hyperlink" Target="http://www.thelawrencefoundation.org/grants/" TargetMode="External"/><Relationship Id="rId129" Type="http://schemas.openxmlformats.org/officeDocument/2006/relationships/hyperlink" Target="https://www.neh.gov/grants/research/scholarly-editions-and-translations-grants" TargetMode="External"/><Relationship Id="rId54" Type="http://schemas.openxmlformats.org/officeDocument/2006/relationships/hyperlink" Target="http://www.ucrossfoundation.org/residency-program/" TargetMode="External"/><Relationship Id="rId70" Type="http://schemas.openxmlformats.org/officeDocument/2006/relationships/hyperlink" Target="http://winterthur.org/fellowship" TargetMode="External"/><Relationship Id="rId75" Type="http://schemas.openxmlformats.org/officeDocument/2006/relationships/hyperlink" Target="https://www.rockefellerfoundation.org/our-work/bellagio-center/residency-program/" TargetMode="External"/><Relationship Id="rId91" Type="http://schemas.openxmlformats.org/officeDocument/2006/relationships/hyperlink" Target="https://www.asist.org/" TargetMode="External"/><Relationship Id="rId96" Type="http://schemas.openxmlformats.org/officeDocument/2006/relationships/hyperlink" Target="http://lgbts.yale.edu/research" TargetMode="External"/><Relationship Id="rId140" Type="http://schemas.openxmlformats.org/officeDocument/2006/relationships/hyperlink" Target="https://www.aauw.org/what-we-do/educational-funding-and-awards/american-fellowships/af-research-publication-grants-application/" TargetMode="External"/><Relationship Id="rId145" Type="http://schemas.openxmlformats.org/officeDocument/2006/relationships/hyperlink" Target="https://www.acs.org/content/acs/en/funding-and-awards/grants/acscommunity.html?_ga=2.200502508.330963792.1510336090-405814502.1510336090" TargetMode="External"/><Relationship Id="rId161" Type="http://schemas.openxmlformats.org/officeDocument/2006/relationships/hyperlink" Target="https://leakeyfoundation.org/grants/research-grants/" TargetMode="External"/><Relationship Id="rId166" Type="http://schemas.openxmlformats.org/officeDocument/2006/relationships/hyperlink" Target="https://www.nsf.gov/funding/pgm_summ.jsp?pims_id=13681" TargetMode="External"/><Relationship Id="rId182" Type="http://schemas.openxmlformats.org/officeDocument/2006/relationships/hyperlink" Target="http://www.nsf.gov/funding/pgm_summ.jsp?pims_id=503623&amp;WT.mc_id=USNSF_39&amp;WT.mc_ev=click" TargetMode="External"/><Relationship Id="rId187" Type="http://schemas.openxmlformats.org/officeDocument/2006/relationships/hyperlink" Target="http://www.nsf.gov/funding/pgm_summ.jsp?pims_id=13544&amp;amp;WT.mc_id=USNSF_39&amp;amp;WT.mc_ev=click" TargetMode="External"/><Relationship Id="rId217" Type="http://schemas.openxmlformats.org/officeDocument/2006/relationships/hyperlink" Target="https://grandchallenges.org/grant-opportunities" TargetMode="External"/><Relationship Id="rId1" Type="http://schemas.openxmlformats.org/officeDocument/2006/relationships/hyperlink" Target="https://journalism.columbia.edu/lukas" TargetMode="External"/><Relationship Id="rId6" Type="http://schemas.openxmlformats.org/officeDocument/2006/relationships/hyperlink" Target="http://www.wawh.org/awards/" TargetMode="External"/><Relationship Id="rId212" Type="http://schemas.openxmlformats.org/officeDocument/2006/relationships/hyperlink" Target="http://www.apsanet.org/smallresearchgrant" TargetMode="External"/><Relationship Id="rId233" Type="http://schemas.openxmlformats.org/officeDocument/2006/relationships/hyperlink" Target="http://www.jfny.org/japanese_studies/smallgrant.html" TargetMode="External"/><Relationship Id="rId238" Type="http://schemas.openxmlformats.org/officeDocument/2006/relationships/hyperlink" Target="https://www.nsf.gov/funding/pgm_summ.jsp?pims_id=504687" TargetMode="External"/><Relationship Id="rId23" Type="http://schemas.openxmlformats.org/officeDocument/2006/relationships/hyperlink" Target="http://www.vilcek.org/prizes/creative-promise/biomedical-science.html" TargetMode="External"/><Relationship Id="rId28" Type="http://schemas.openxmlformats.org/officeDocument/2006/relationships/hyperlink" Target="http://mcgovern.mit.edu/events/scolnick-prize/call-for-nominations" TargetMode="External"/><Relationship Id="rId49" Type="http://schemas.openxmlformats.org/officeDocument/2006/relationships/hyperlink" Target="http://www.neh.gov/grants/research/fellowships" TargetMode="External"/><Relationship Id="rId114" Type="http://schemas.openxmlformats.org/officeDocument/2006/relationships/hyperlink" Target="http://www.spencer.org/small-research-grants" TargetMode="External"/><Relationship Id="rId119" Type="http://schemas.openxmlformats.org/officeDocument/2006/relationships/hyperlink" Target="https://www.neh.gov/grants/education/humanities-connections-implementation-grants" TargetMode="External"/><Relationship Id="rId44" Type="http://schemas.openxmlformats.org/officeDocument/2006/relationships/hyperlink" Target="https://lclf.harvard.edu/" TargetMode="External"/><Relationship Id="rId60" Type="http://schemas.openxmlformats.org/officeDocument/2006/relationships/hyperlink" Target="http://ethics.utoronto.ca/people/visiting-faculty-fellowships/" TargetMode="External"/><Relationship Id="rId65" Type="http://schemas.openxmlformats.org/officeDocument/2006/relationships/hyperlink" Target="http://shc.stanford.edu/fellowships/non-stanford-faculty" TargetMode="External"/><Relationship Id="rId81" Type="http://schemas.openxmlformats.org/officeDocument/2006/relationships/hyperlink" Target="https://www.usip.org/grants-fellowships/fellowships" TargetMode="External"/><Relationship Id="rId86" Type="http://schemas.openxmlformats.org/officeDocument/2006/relationships/hyperlink" Target="http://sites.nationalacademies.org/pga/jefferson/?_ga=2.157111035.1954131380.1509474902-2139803928.1509474902" TargetMode="External"/><Relationship Id="rId130" Type="http://schemas.openxmlformats.org/officeDocument/2006/relationships/hyperlink" Target="https://www.wabashcenter.wabash.edu/wabash-grants/project-grants/" TargetMode="External"/><Relationship Id="rId135" Type="http://schemas.openxmlformats.org/officeDocument/2006/relationships/hyperlink" Target="http://artisttrust.org/index.php/for-artists/grants" TargetMode="External"/><Relationship Id="rId151" Type="http://schemas.openxmlformats.org/officeDocument/2006/relationships/hyperlink" Target="https://www.nsf.gov/funding/pgm_summ.jsp?pims_id=12816" TargetMode="External"/><Relationship Id="rId156" Type="http://schemas.openxmlformats.org/officeDocument/2006/relationships/hyperlink" Target="http://ethicsandeducation.wceruw.org/research-grants.html" TargetMode="External"/><Relationship Id="rId177" Type="http://schemas.openxmlformats.org/officeDocument/2006/relationships/hyperlink" Target="http://www.wmkeck.org/grant-programs/research" TargetMode="External"/><Relationship Id="rId198" Type="http://schemas.openxmlformats.org/officeDocument/2006/relationships/hyperlink" Target="https://www.neuroscienceblueprint.nih.gov/" TargetMode="External"/><Relationship Id="rId172" Type="http://schemas.openxmlformats.org/officeDocument/2006/relationships/hyperlink" Target="http://www.apa.org/apf/funding/visionary.aspx" TargetMode="External"/><Relationship Id="rId193" Type="http://schemas.openxmlformats.org/officeDocument/2006/relationships/hyperlink" Target="https://www.simonsfoundation.org/mathematics-physical-sciences/simons-investigators/" TargetMode="External"/><Relationship Id="rId202" Type="http://schemas.openxmlformats.org/officeDocument/2006/relationships/hyperlink" Target="https://www.nsf.gov/funding/pgm_summ.jsp?pims_id=504727" TargetMode="External"/><Relationship Id="rId207" Type="http://schemas.openxmlformats.org/officeDocument/2006/relationships/hyperlink" Target="http://www.nsf.gov/funding/pgm_summ.jsp?pims_id=504696&amp;WT.mc_id=USNSF_39&amp;WT.mc_ev=click" TargetMode="External"/><Relationship Id="rId223" Type="http://schemas.openxmlformats.org/officeDocument/2006/relationships/hyperlink" Target="http://www.apap365.org/KNOWLEDGE/GrantPrograms/Pages/cef.aspx" TargetMode="External"/><Relationship Id="rId228" Type="http://schemas.openxmlformats.org/officeDocument/2006/relationships/hyperlink" Target="https://www.nsf.gov/funding/pgm_summ.jsp?pims_id=5567" TargetMode="External"/><Relationship Id="rId13" Type="http://schemas.openxmlformats.org/officeDocument/2006/relationships/hyperlink" Target="http://clah.h-net.org/?page_id=147" TargetMode="External"/><Relationship Id="rId18" Type="http://schemas.openxmlformats.org/officeDocument/2006/relationships/hyperlink" Target="https://www.acs.org/content/acs/en/funding-and-awards/awards/other/diversity/wcc-rising-star-award.html?_ga=2.264447181.330963792.1510336090-405814502.1510336090" TargetMode="External"/><Relationship Id="rId39" Type="http://schemas.openxmlformats.org/officeDocument/2006/relationships/hyperlink" Target="https://www.templeton.org/internal-competiton-fund/academic-cross-training-fellowship" TargetMode="External"/><Relationship Id="rId109" Type="http://schemas.openxmlformats.org/officeDocument/2006/relationships/hyperlink" Target="https://www.archaeological.org/grants/702" TargetMode="External"/><Relationship Id="rId34" Type="http://schemas.openxmlformats.org/officeDocument/2006/relationships/hyperlink" Target="http://sites.duke.edu/broadfoundation/extramural-award-application/" TargetMode="External"/><Relationship Id="rId50" Type="http://schemas.openxmlformats.org/officeDocument/2006/relationships/hyperlink" Target="http://fitchfoundation.org/grants/fitch-kress/" TargetMode="External"/><Relationship Id="rId55" Type="http://schemas.openxmlformats.org/officeDocument/2006/relationships/hyperlink" Target="https://www.brown.edu/academics/libraries/john-carter-brown/events-publications/new-initiative-collaboration-grants" TargetMode="External"/><Relationship Id="rId76" Type="http://schemas.openxmlformats.org/officeDocument/2006/relationships/hyperlink" Target="http://www.americanacademy.de/apply/apply-for-a-fellowship/" TargetMode="External"/><Relationship Id="rId97" Type="http://schemas.openxmlformats.org/officeDocument/2006/relationships/hyperlink" Target="http://www.quaibranly.fr/en/scientific-research/activities/scholarships-and-thesis-prizes/research-fellowships/" TargetMode="External"/><Relationship Id="rId104" Type="http://schemas.openxmlformats.org/officeDocument/2006/relationships/hyperlink" Target="https://www.okeeffemuseum.org/research-center/fellowship-program/" TargetMode="External"/><Relationship Id="rId120" Type="http://schemas.openxmlformats.org/officeDocument/2006/relationships/hyperlink" Target="http://www.amielandmelburn.org.uk/apply-for-an-award/" TargetMode="External"/><Relationship Id="rId125" Type="http://schemas.openxmlformats.org/officeDocument/2006/relationships/hyperlink" Target="http://www.neh.gov/grants/education/summer-seminars-and-institutes" TargetMode="External"/><Relationship Id="rId141" Type="http://schemas.openxmlformats.org/officeDocument/2006/relationships/hyperlink" Target="http://www.theinvestigativefund.org/about/1808/puffin_foundation_investigative_fund" TargetMode="External"/><Relationship Id="rId146" Type="http://schemas.openxmlformats.org/officeDocument/2006/relationships/hyperlink" Target="https://demingfund.org/funding-pd-8.php" TargetMode="External"/><Relationship Id="rId167" Type="http://schemas.openxmlformats.org/officeDocument/2006/relationships/hyperlink" Target="http://www.searlescholars.net/" TargetMode="External"/><Relationship Id="rId188" Type="http://schemas.openxmlformats.org/officeDocument/2006/relationships/hyperlink" Target="https://grants.nih.gov/grants/guide/pa-files/PA-15-262.html" TargetMode="External"/><Relationship Id="rId7" Type="http://schemas.openxmlformats.org/officeDocument/2006/relationships/hyperlink" Target="http://www.feminist-review-trust.com/awards/" TargetMode="External"/><Relationship Id="rId71" Type="http://schemas.openxmlformats.org/officeDocument/2006/relationships/hyperlink" Target="http://www.bfny.org/en/apply" TargetMode="External"/><Relationship Id="rId92" Type="http://schemas.openxmlformats.org/officeDocument/2006/relationships/hyperlink" Target="https://www.russellsage.org/how-to-apply/visiting-scholars-program" TargetMode="External"/><Relationship Id="rId162" Type="http://schemas.openxmlformats.org/officeDocument/2006/relationships/hyperlink" Target="http://aimsnorthafrica.org/long-and-short-term-grants/" TargetMode="External"/><Relationship Id="rId183" Type="http://schemas.openxmlformats.org/officeDocument/2006/relationships/hyperlink" Target="https://www.nsf.gov/funding/pgm_summ.jsp?pims_id=503634" TargetMode="External"/><Relationship Id="rId213" Type="http://schemas.openxmlformats.org/officeDocument/2006/relationships/hyperlink" Target="https://www.baylor.edu/library/poage/index.php?id=925991" TargetMode="External"/><Relationship Id="rId218" Type="http://schemas.openxmlformats.org/officeDocument/2006/relationships/hyperlink" Target="https://oral.history.ufl.edu/research/visiting-scholars/" TargetMode="External"/><Relationship Id="rId234" Type="http://schemas.openxmlformats.org/officeDocument/2006/relationships/hyperlink" Target="http://www.jfny.org/arts_and_culture/smallgrant.html" TargetMode="External"/><Relationship Id="rId239" Type="http://schemas.openxmlformats.org/officeDocument/2006/relationships/hyperlink" Target="http://saba.abainternational.org/grants/International-Development-Grant" TargetMode="External"/><Relationship Id="rId2" Type="http://schemas.openxmlformats.org/officeDocument/2006/relationships/hyperlink" Target="https://www.historians.org/awards-and-grants/awards-and-prizes/joan-kelly-memorial-prize" TargetMode="External"/><Relationship Id="rId29" Type="http://schemas.openxmlformats.org/officeDocument/2006/relationships/hyperlink" Target="http://www.apa.org/apf/funding/rweiss.aspx" TargetMode="External"/><Relationship Id="rId24" Type="http://schemas.openxmlformats.org/officeDocument/2006/relationships/hyperlink" Target="https://www.sfn.org/Awards-and-Funding/Individual-Prizes-and-Fellowships/Outstanding-Research-and-Career-Awards/Mika-Salpeter-Lifetime-Achievement-Award" TargetMode="External"/><Relationship Id="rId40" Type="http://schemas.openxmlformats.org/officeDocument/2006/relationships/hyperlink" Target="http://wtgrantfoundation.org/Grants" TargetMode="External"/><Relationship Id="rId45" Type="http://schemas.openxmlformats.org/officeDocument/2006/relationships/hyperlink" Target="https://www.sns.ias.edu/apply" TargetMode="External"/><Relationship Id="rId66" Type="http://schemas.openxmlformats.org/officeDocument/2006/relationships/hyperlink" Target="http://www.aarome.org/apply" TargetMode="External"/><Relationship Id="rId87" Type="http://schemas.openxmlformats.org/officeDocument/2006/relationships/hyperlink" Target="http://www.chemheritage.org/research/beckman-center/beckman-center-fellowships/index.aspx?utm_source=BeckmanCenter&amp;utm_medium=web&amp;utm_campaign=redirect" TargetMode="External"/><Relationship Id="rId110" Type="http://schemas.openxmlformats.org/officeDocument/2006/relationships/hyperlink" Target="http://www.apa.org/apf/funding/sparks-early-career.aspx" TargetMode="External"/><Relationship Id="rId115" Type="http://schemas.openxmlformats.org/officeDocument/2006/relationships/hyperlink" Target="http://www.sifoundation.org/how-to-apply-on-line/" TargetMode="External"/><Relationship Id="rId131" Type="http://schemas.openxmlformats.org/officeDocument/2006/relationships/hyperlink" Target="https://www.neh.gov/grants/preservation/common-heritage" TargetMode="External"/><Relationship Id="rId136" Type="http://schemas.openxmlformats.org/officeDocument/2006/relationships/hyperlink" Target="https://www.gottliebfoundation.org/individual-support-grant-1/" TargetMode="External"/><Relationship Id="rId157" Type="http://schemas.openxmlformats.org/officeDocument/2006/relationships/hyperlink" Target="http://www.fahsbeckfund.org/pdf_files/CURRENT_Post_Doctoral_Guidelines_01.12.15.pdf" TargetMode="External"/><Relationship Id="rId178" Type="http://schemas.openxmlformats.org/officeDocument/2006/relationships/hyperlink" Target="http://psscra.org/application/" TargetMode="External"/><Relationship Id="rId61" Type="http://schemas.openxmlformats.org/officeDocument/2006/relationships/hyperlink" Target="http://classics.uc.edu/index.php/tytus/64-tytusinfo" TargetMode="External"/><Relationship Id="rId82" Type="http://schemas.openxmlformats.org/officeDocument/2006/relationships/hyperlink" Target="https://www.radcliffe.harvard.edu/fellowship-program" TargetMode="External"/><Relationship Id="rId152" Type="http://schemas.openxmlformats.org/officeDocument/2006/relationships/hyperlink" Target="https://www.arts.gov/grants-organizations/research-art-works" TargetMode="External"/><Relationship Id="rId173" Type="http://schemas.openxmlformats.org/officeDocument/2006/relationships/hyperlink" Target="http://grants1.nih.gov/grants/funding/submissionschedule.htm" TargetMode="External"/><Relationship Id="rId194" Type="http://schemas.openxmlformats.org/officeDocument/2006/relationships/hyperlink" Target="https://www.nsf.gov/funding/pgm_summ.jsp?pims_id=13365" TargetMode="External"/><Relationship Id="rId199" Type="http://schemas.openxmlformats.org/officeDocument/2006/relationships/hyperlink" Target="https://www.thebrf.org/for-researchers/fayfrank-seed-grant-program/" TargetMode="External"/><Relationship Id="rId203" Type="http://schemas.openxmlformats.org/officeDocument/2006/relationships/hyperlink" Target="http://www.nsf.gov/funding/pgm_summ.jsp?pims_id=5408" TargetMode="External"/><Relationship Id="rId208" Type="http://schemas.openxmlformats.org/officeDocument/2006/relationships/hyperlink" Target="http://www.nsf.gov/funding/pgm_summ.jsp?pims_id=501084&amp;org=SMA&amp;from=home" TargetMode="External"/><Relationship Id="rId229" Type="http://schemas.openxmlformats.org/officeDocument/2006/relationships/hyperlink" Target="https://www.hagley.org/research/grants-fellowships" TargetMode="External"/><Relationship Id="rId19" Type="http://schemas.openxmlformats.org/officeDocument/2006/relationships/hyperlink" Target="https://www.aacc.org/community/awards/outstanding-scientific-achievements-by-a-young-investigator" TargetMode="External"/><Relationship Id="rId224" Type="http://schemas.openxmlformats.org/officeDocument/2006/relationships/hyperlink" Target="http://www.apa.org/about/awards/international-conference-grant.aspx" TargetMode="External"/><Relationship Id="rId240" Type="http://schemas.openxmlformats.org/officeDocument/2006/relationships/printerSettings" Target="../printerSettings/printerSettings1.bin"/><Relationship Id="rId14" Type="http://schemas.openxmlformats.org/officeDocument/2006/relationships/hyperlink" Target="http://www.apa.org/apf/funding/gralnick.aspx" TargetMode="External"/><Relationship Id="rId30" Type="http://schemas.openxmlformats.org/officeDocument/2006/relationships/hyperlink" Target="https://neuroscience.mcknight.org/the-awards/scholar" TargetMode="External"/><Relationship Id="rId35" Type="http://schemas.openxmlformats.org/officeDocument/2006/relationships/hyperlink" Target="http://www.foundationforcontemporaryarts.org/grants/emergency-grants" TargetMode="External"/><Relationship Id="rId56" Type="http://schemas.openxmlformats.org/officeDocument/2006/relationships/hyperlink" Target="https://www.historians.org/awards-and-grants/grants-and-fellowships/j-franklin-jameson-fellowship" TargetMode="External"/><Relationship Id="rId77" Type="http://schemas.openxmlformats.org/officeDocument/2006/relationships/hyperlink" Target="https://ndias.nd.edu/fellowships/" TargetMode="External"/><Relationship Id="rId100" Type="http://schemas.openxmlformats.org/officeDocument/2006/relationships/hyperlink" Target="http://www.wennergren.org/programs/hunt-postdoctoral-fellowships" TargetMode="External"/><Relationship Id="rId105" Type="http://schemas.openxmlformats.org/officeDocument/2006/relationships/hyperlink" Target="http://www.sah.org/jobs-and-careers/sah-fellowships-and-grants/h-allen-brooks-travelling-fellowship" TargetMode="External"/><Relationship Id="rId126" Type="http://schemas.openxmlformats.org/officeDocument/2006/relationships/hyperlink" Target="http://www.neh.gov/divisions/education/summer-programs" TargetMode="External"/><Relationship Id="rId147" Type="http://schemas.openxmlformats.org/officeDocument/2006/relationships/hyperlink" Target="http://thehoneybeeconservancy.org/beekeeping-grants/" TargetMode="External"/><Relationship Id="rId168" Type="http://schemas.openxmlformats.org/officeDocument/2006/relationships/hyperlink" Target="http://grants.nih.gov/grants/funding/r01.htm" TargetMode="External"/><Relationship Id="rId8" Type="http://schemas.openxmlformats.org/officeDocument/2006/relationships/hyperlink" Target="http://fitchfoundation.org/grants/blinder/" TargetMode="External"/><Relationship Id="rId51" Type="http://schemas.openxmlformats.org/officeDocument/2006/relationships/hyperlink" Target="https://www.amphilsoc.org/grants/franklin-research-grants" TargetMode="External"/><Relationship Id="rId72" Type="http://schemas.openxmlformats.org/officeDocument/2006/relationships/hyperlink" Target="http://www.vahistorical.org/collections-and-resources/how-we-can-help-your-research/researcher-resources/research-fellowship-and?legacy=true" TargetMode="External"/><Relationship Id="rId93" Type="http://schemas.openxmlformats.org/officeDocument/2006/relationships/hyperlink" Target="https://kellogg.nd.edu/opportunities/visiting-faculty/about-our-visiting-fellowships" TargetMode="External"/><Relationship Id="rId98" Type="http://schemas.openxmlformats.org/officeDocument/2006/relationships/hyperlink" Target="https://www.arts.gov/grants-individuals/translation-projects" TargetMode="External"/><Relationship Id="rId121" Type="http://schemas.openxmlformats.org/officeDocument/2006/relationships/hyperlink" Target="http://grants.nih.gov/grants/funding/r13/" TargetMode="External"/><Relationship Id="rId142" Type="http://schemas.openxmlformats.org/officeDocument/2006/relationships/hyperlink" Target="https://www.imls.gov/grants/available/national-leadership-grants-libraries/" TargetMode="External"/><Relationship Id="rId163" Type="http://schemas.openxmlformats.org/officeDocument/2006/relationships/hyperlink" Target="http://delmas.org/grants/venetian-program-grants/research-in-venice-application-instructions/" TargetMode="External"/><Relationship Id="rId184" Type="http://schemas.openxmlformats.org/officeDocument/2006/relationships/hyperlink" Target="https://www.nsf.gov/funding/pgm_summ.jsp?pims_id=5750" TargetMode="External"/><Relationship Id="rId189" Type="http://schemas.openxmlformats.org/officeDocument/2006/relationships/hyperlink" Target="http://www.acha.org/ACHA/Foundation/FirstRisk_Award.aspx?WebsiteKey=03f1a0d5-4c58-4ff4-9b6b-764854022ac1" TargetMode="External"/><Relationship Id="rId219" Type="http://schemas.openxmlformats.org/officeDocument/2006/relationships/hyperlink" Target="http://pulitzercenter.org/grants/how-apply" TargetMode="External"/><Relationship Id="rId3" Type="http://schemas.openxmlformats.org/officeDocument/2006/relationships/hyperlink" Target="https://theccwh.org/ccwh-awards/chaudhuri-first-article-prize/" TargetMode="External"/><Relationship Id="rId214" Type="http://schemas.openxmlformats.org/officeDocument/2006/relationships/hyperlink" Target="http://www.nsf.gov/funding/pgm_summ.jsp?pims_id=5369&amp;org=SES" TargetMode="External"/><Relationship Id="rId230" Type="http://schemas.openxmlformats.org/officeDocument/2006/relationships/hyperlink" Target="https://www.asist.org/about/awards/history-fund-awards/" TargetMode="External"/><Relationship Id="rId235" Type="http://schemas.openxmlformats.org/officeDocument/2006/relationships/hyperlink" Target="https://www.nsf.gov/funding/pgm_summ.jsp?pims_id=503418" TargetMode="External"/><Relationship Id="rId25" Type="http://schemas.openxmlformats.org/officeDocument/2006/relationships/hyperlink" Target="https://www.psychiatry.org/psychiatrists/awards-leadership-opportunities/awards/kempf-fund-award" TargetMode="External"/><Relationship Id="rId46" Type="http://schemas.openxmlformats.org/officeDocument/2006/relationships/hyperlink" Target="http://www.neh.gov/grants/research/fellowships-advanced-social-science-research-japan" TargetMode="External"/><Relationship Id="rId67" Type="http://schemas.openxmlformats.org/officeDocument/2006/relationships/hyperlink" Target="https://www.nypl.org/help/about-nypl/fellowships-institutes/schomburg-center-scholars-in-residency" TargetMode="External"/><Relationship Id="rId116" Type="http://schemas.openxmlformats.org/officeDocument/2006/relationships/hyperlink" Target="http://www.nsf.gov/funding/pgm_summ.jsp?pims_id=5260" TargetMode="External"/><Relationship Id="rId137" Type="http://schemas.openxmlformats.org/officeDocument/2006/relationships/hyperlink" Target="http://www.ensembletheaters.net/content/netten-exchange-grants" TargetMode="External"/><Relationship Id="rId158" Type="http://schemas.openxmlformats.org/officeDocument/2006/relationships/hyperlink" Target="http://wtgrantfoundation.org/grants/research-grants" TargetMode="External"/><Relationship Id="rId20" Type="http://schemas.openxmlformats.org/officeDocument/2006/relationships/hyperlink" Target="https://research.google.com/research-outreach.html" TargetMode="External"/><Relationship Id="rId41" Type="http://schemas.openxmlformats.org/officeDocument/2006/relationships/hyperlink" Target="https://www.gf.org/applicants/" TargetMode="External"/><Relationship Id="rId62" Type="http://schemas.openxmlformats.org/officeDocument/2006/relationships/hyperlink" Target="http://hrc.anu.edu.au/visiting-fellowships" TargetMode="External"/><Relationship Id="rId83" Type="http://schemas.openxmlformats.org/officeDocument/2006/relationships/hyperlink" Target="http://www.baylor.edu/lib/texas/index.php?id=868670" TargetMode="External"/><Relationship Id="rId88" Type="http://schemas.openxmlformats.org/officeDocument/2006/relationships/hyperlink" Target="https://www.aps.org/policy/fellowships/congressional.cfm" TargetMode="External"/><Relationship Id="rId111" Type="http://schemas.openxmlformats.org/officeDocument/2006/relationships/hyperlink" Target="https://www.fws.gov/birds/grants/neotropical-migratory-bird-conservation-act.php" TargetMode="External"/><Relationship Id="rId132" Type="http://schemas.openxmlformats.org/officeDocument/2006/relationships/hyperlink" Target="http://www.documentary.org/funding/pare-lorentz-doc-fund" TargetMode="External"/><Relationship Id="rId153" Type="http://schemas.openxmlformats.org/officeDocument/2006/relationships/hyperlink" Target="http://wtgrantfoundation.org/grants/william-t-grant-scholars-program" TargetMode="External"/><Relationship Id="rId174" Type="http://schemas.openxmlformats.org/officeDocument/2006/relationships/hyperlink" Target="http://www.nsf.gov/funding/pgm_summ.jsp?pims_id=5686&amp;WT.mc_id=USNSF_39&amp;WT.mc_ev=click" TargetMode="External"/><Relationship Id="rId179" Type="http://schemas.openxmlformats.org/officeDocument/2006/relationships/hyperlink" Target="http://www.bwfund.org/grant-programs/regulatory-science/innovation-regulatory-science" TargetMode="External"/><Relationship Id="rId195" Type="http://schemas.openxmlformats.org/officeDocument/2006/relationships/hyperlink" Target="http://www.austenriggs.org/erikson-institute-erikson-scholar-program" TargetMode="External"/><Relationship Id="rId209" Type="http://schemas.openxmlformats.org/officeDocument/2006/relationships/hyperlink" Target="http://www.russellsage.org/how-to-apply/small-grants-behavioral-economics-apply/guidelines" TargetMode="External"/><Relationship Id="rId190" Type="http://schemas.openxmlformats.org/officeDocument/2006/relationships/hyperlink" Target="https://www.nsf.gov/div/index.jsp?div=DMS" TargetMode="External"/><Relationship Id="rId204" Type="http://schemas.openxmlformats.org/officeDocument/2006/relationships/hyperlink" Target="http://www.nsf.gov/funding/pgm_summ.jsp?pims_id=5423" TargetMode="External"/><Relationship Id="rId220" Type="http://schemas.openxmlformats.org/officeDocument/2006/relationships/hyperlink" Target="https://www.societyforfrenchhistoricalstudies.net/research-travel-prize/" TargetMode="External"/><Relationship Id="rId225" Type="http://schemas.openxmlformats.org/officeDocument/2006/relationships/hyperlink" Target="https://www.fordlibrarymuseum.gov/library/foundationgrants.asp" TargetMode="External"/><Relationship Id="rId15" Type="http://schemas.openxmlformats.org/officeDocument/2006/relationships/hyperlink" Target="http://www.nsf.gov/funding/pgm_summ.jsp?pims_id=503214" TargetMode="External"/><Relationship Id="rId36" Type="http://schemas.openxmlformats.org/officeDocument/2006/relationships/hyperlink" Target="http://www.bradyeducationfoundation.org/applicationguidelines.html" TargetMode="External"/><Relationship Id="rId57" Type="http://schemas.openxmlformats.org/officeDocument/2006/relationships/hyperlink" Target="http://isaw.nyu.edu/visiting-scholars" TargetMode="External"/><Relationship Id="rId106" Type="http://schemas.openxmlformats.org/officeDocument/2006/relationships/hyperlink" Target="https://eastwestdialogue.org/fellowship/" TargetMode="External"/><Relationship Id="rId127" Type="http://schemas.openxmlformats.org/officeDocument/2006/relationships/hyperlink" Target="https://pcmi.ias.edu/" TargetMode="External"/><Relationship Id="rId10" Type="http://schemas.openxmlformats.org/officeDocument/2006/relationships/hyperlink" Target="http://delmas.org/programs/" TargetMode="External"/><Relationship Id="rId31" Type="http://schemas.openxmlformats.org/officeDocument/2006/relationships/hyperlink" Target="http://www.harvard.edu/" TargetMode="External"/><Relationship Id="rId52" Type="http://schemas.openxmlformats.org/officeDocument/2006/relationships/hyperlink" Target="https://www.nga.gov/research/casva/fellowships/visiting-senior-fellowships.html" TargetMode="External"/><Relationship Id="rId73" Type="http://schemas.openxmlformats.org/officeDocument/2006/relationships/hyperlink" Target="http://www.gei.de/en/fellowships-awards/fellowship-programme.html" TargetMode="External"/><Relationship Id="rId78" Type="http://schemas.openxmlformats.org/officeDocument/2006/relationships/hyperlink" Target="https://uchv.princeton.edu/fellowships-awards/laurance-s-rockefeller-visiting-faculty-fellowships" TargetMode="External"/><Relationship Id="rId94" Type="http://schemas.openxmlformats.org/officeDocument/2006/relationships/hyperlink" Target="https://www.cfr.org/fellowships/international-affairs-fellowship" TargetMode="External"/><Relationship Id="rId99" Type="http://schemas.openxmlformats.org/officeDocument/2006/relationships/hyperlink" Target="https://asecs.press.jhu.edu/Weekly%20Announcements/womenediting.html" TargetMode="External"/><Relationship Id="rId101" Type="http://schemas.openxmlformats.org/officeDocument/2006/relationships/hyperlink" Target="http://www.klingfund.org/index.php" TargetMode="External"/><Relationship Id="rId122" Type="http://schemas.openxmlformats.org/officeDocument/2006/relationships/hyperlink" Target="https://www.accessgroup.org/research/legal-education-diversity-pipeline-grant-program" TargetMode="External"/><Relationship Id="rId143" Type="http://schemas.openxmlformats.org/officeDocument/2006/relationships/hyperlink" Target="https://www.whiting.org/awards/creative-nonfiction-grant" TargetMode="External"/><Relationship Id="rId148" Type="http://schemas.openxmlformats.org/officeDocument/2006/relationships/hyperlink" Target="https://www.culinaryhistoriansny.org/awards-grants/the-scholars-grant/" TargetMode="External"/><Relationship Id="rId164" Type="http://schemas.openxmlformats.org/officeDocument/2006/relationships/hyperlink" Target="http://depts.washington.edu/jacobsf/" TargetMode="External"/><Relationship Id="rId169" Type="http://schemas.openxmlformats.org/officeDocument/2006/relationships/hyperlink" Target="http://grants1.nih.gov/grants/funding/submissionschedule.htm" TargetMode="External"/><Relationship Id="rId185" Type="http://schemas.openxmlformats.org/officeDocument/2006/relationships/hyperlink" Target="https://www.nsf.gov/funding/pgm_summ.jsp?pims_id=5407" TargetMode="External"/><Relationship Id="rId4" Type="http://schemas.openxmlformats.org/officeDocument/2006/relationships/hyperlink" Target="https://theccwh.org/ccwh-awards/catherine-prelinger-award/" TargetMode="External"/><Relationship Id="rId9" Type="http://schemas.openxmlformats.org/officeDocument/2006/relationships/hyperlink" Target="https://asecs.press.jhu.edu/Weekly%20Announcements/clifford1.html" TargetMode="External"/><Relationship Id="rId180" Type="http://schemas.openxmlformats.org/officeDocument/2006/relationships/hyperlink" Target="http://www.nsf.gov/funding/pgm_summ.jsp?pims_id=12724&amp;WT.mc_id=USNSF_39&amp;WT.mc_ev=click" TargetMode="External"/><Relationship Id="rId210" Type="http://schemas.openxmlformats.org/officeDocument/2006/relationships/hyperlink" Target="https://www.russellsage.org/research/race-ethnicity-immigration" TargetMode="External"/><Relationship Id="rId215" Type="http://schemas.openxmlformats.org/officeDocument/2006/relationships/hyperlink" Target="https://www.nsf.gov/funding/pgm_summ.jsp?pims_id=5501" TargetMode="External"/><Relationship Id="rId236" Type="http://schemas.openxmlformats.org/officeDocument/2006/relationships/hyperlink" Target="https://www.nsf.gov/funding/pgm_summ.jsp?pims_id=503418" TargetMode="External"/><Relationship Id="rId26" Type="http://schemas.openxmlformats.org/officeDocument/2006/relationships/hyperlink" Target="http://www.apadivisions.org/division-32/awards/carmi-harari.aspx" TargetMode="External"/><Relationship Id="rId231" Type="http://schemas.openxmlformats.org/officeDocument/2006/relationships/hyperlink" Target="https://cla.umn.edu/ihrc/michael-g-karni-scholarship" TargetMode="External"/><Relationship Id="rId47" Type="http://schemas.openxmlformats.org/officeDocument/2006/relationships/hyperlink" Target="https://www.opensocietyfoundations.org/grants/soros-justice-fellowships" TargetMode="External"/><Relationship Id="rId68" Type="http://schemas.openxmlformats.org/officeDocument/2006/relationships/hyperlink" Target="https://www.newberry.org/short-term-fellowships" TargetMode="External"/><Relationship Id="rId89" Type="http://schemas.openxmlformats.org/officeDocument/2006/relationships/hyperlink" Target="http://www.austenriggs.org/erikson-scholar-program" TargetMode="External"/><Relationship Id="rId112" Type="http://schemas.openxmlformats.org/officeDocument/2006/relationships/hyperlink" Target="http://www.apa.org/apf/funding/walfish.aspx" TargetMode="External"/><Relationship Id="rId133" Type="http://schemas.openxmlformats.org/officeDocument/2006/relationships/hyperlink" Target="http://www.documentary.org/funding/pare-lorentz-doc-fund" TargetMode="External"/><Relationship Id="rId154" Type="http://schemas.openxmlformats.org/officeDocument/2006/relationships/hyperlink" Target="https://www.spencer.org/apply" TargetMode="External"/><Relationship Id="rId175" Type="http://schemas.openxmlformats.org/officeDocument/2006/relationships/hyperlink" Target="http://fdnweb.org/eppley/" TargetMode="External"/><Relationship Id="rId196" Type="http://schemas.openxmlformats.org/officeDocument/2006/relationships/hyperlink" Target="http://www.nsf.gov/funding/pgm_summ.jsp?pims_id=5316&amp;WT.mc_id=USNSF_39&amp;WT.mc_ev=click" TargetMode="External"/><Relationship Id="rId200" Type="http://schemas.openxmlformats.org/officeDocument/2006/relationships/hyperlink" Target="http://www.hfg.org/rg/guidelines.htm" TargetMode="External"/><Relationship Id="rId16" Type="http://schemas.openxmlformats.org/officeDocument/2006/relationships/hyperlink" Target="https://www.aaas.org/page/aaas-early-career-award-public-engagement-science" TargetMode="External"/><Relationship Id="rId221" Type="http://schemas.openxmlformats.org/officeDocument/2006/relationships/hyperlink" Target="http://maxkadefoundation.org/grants.html" TargetMode="External"/><Relationship Id="rId37" Type="http://schemas.openxmlformats.org/officeDocument/2006/relationships/hyperlink" Target="https://www.nyfa.org/Content/Show/Artists'%20Fellowships" TargetMode="External"/><Relationship Id="rId58" Type="http://schemas.openxmlformats.org/officeDocument/2006/relationships/hyperlink" Target="https://history.princeton.edu/centers-programs/shelby-cullom-davis-center/fellowships" TargetMode="External"/><Relationship Id="rId79" Type="http://schemas.openxmlformats.org/officeDocument/2006/relationships/hyperlink" Target="http://www.huntington.org/fellowships/" TargetMode="External"/><Relationship Id="rId102" Type="http://schemas.openxmlformats.org/officeDocument/2006/relationships/hyperlink" Target="https://sloan.org/fellowships" TargetMode="External"/><Relationship Id="rId123" Type="http://schemas.openxmlformats.org/officeDocument/2006/relationships/hyperlink" Target="http://www.botstiber.org/austrian/grants/grantsguidelines.html" TargetMode="External"/><Relationship Id="rId144" Type="http://schemas.openxmlformats.org/officeDocument/2006/relationships/hyperlink" Target="http://www.kressfoundation.org/grants/default.aspx?id=142" TargetMode="External"/><Relationship Id="rId90" Type="http://schemas.openxmlformats.org/officeDocument/2006/relationships/hyperlink" Target="http://www.apa.org/about/awards/congress-fellow.aspx" TargetMode="External"/><Relationship Id="rId165" Type="http://schemas.openxmlformats.org/officeDocument/2006/relationships/hyperlink" Target="http://www.oclc.org/research/grants/call.html" TargetMode="External"/><Relationship Id="rId186" Type="http://schemas.openxmlformats.org/officeDocument/2006/relationships/hyperlink" Target="https://www.nsf.gov/funding/pgm_summ.jsp?pims_id=503418" TargetMode="External"/><Relationship Id="rId211" Type="http://schemas.openxmlformats.org/officeDocument/2006/relationships/hyperlink" Target="http://www.nsf.gov/funding/pgm_summ.jsp?pims_id=5418" TargetMode="External"/><Relationship Id="rId232" Type="http://schemas.openxmlformats.org/officeDocument/2006/relationships/hyperlink" Target="http://www.asianculturalcouncil.org/our-programs" TargetMode="External"/><Relationship Id="rId27" Type="http://schemas.openxmlformats.org/officeDocument/2006/relationships/hyperlink" Target="http://gruber.yale.edu/neuroscience-prize-nomination-criteria" TargetMode="External"/><Relationship Id="rId48" Type="http://schemas.openxmlformats.org/officeDocument/2006/relationships/hyperlink" Target="https://smlr.rutgers.edu/content/louis-o-kelso-fellowship" TargetMode="External"/><Relationship Id="rId69" Type="http://schemas.openxmlformats.org/officeDocument/2006/relationships/hyperlink" Target="http://britishart.yale.edu/research/residential-scholar-awards/visiting-scholar-awards" TargetMode="External"/><Relationship Id="rId113" Type="http://schemas.openxmlformats.org/officeDocument/2006/relationships/hyperlink" Target="http://www.apa.org/apf/funding/pearson.aspx" TargetMode="External"/><Relationship Id="rId134" Type="http://schemas.openxmlformats.org/officeDocument/2006/relationships/hyperlink" Target="http://www.kressfoundation.org/grants/default.aspx?id=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641"/>
  <sheetViews>
    <sheetView tabSelected="1" workbookViewId="0">
      <pane ySplit="1" topLeftCell="A149" activePane="bottomLeft" state="frozen"/>
      <selection pane="bottomLeft" activeCell="I32" sqref="I32"/>
    </sheetView>
  </sheetViews>
  <sheetFormatPr defaultColWidth="14.42578125" defaultRowHeight="15" customHeight="1"/>
  <cols>
    <col min="1" max="1" width="10.85546875" customWidth="1"/>
    <col min="2" max="2" width="26.7109375" customWidth="1"/>
    <col min="3" max="3" width="12.7109375" customWidth="1"/>
    <col min="4" max="4" width="38.28515625" customWidth="1"/>
    <col min="5" max="5" width="15.28515625" customWidth="1"/>
    <col min="6" max="6" width="10.140625" customWidth="1"/>
    <col min="7" max="7" width="11.5703125" customWidth="1"/>
    <col min="8" max="8" width="12" customWidth="1"/>
    <col min="9" max="9" width="54.28515625" customWidth="1"/>
  </cols>
  <sheetData>
    <row r="1" spans="1:9" ht="51">
      <c r="A1" s="1" t="s">
        <v>0</v>
      </c>
      <c r="B1" s="2" t="s">
        <v>1</v>
      </c>
      <c r="C1" s="3" t="s">
        <v>2</v>
      </c>
      <c r="D1" s="2" t="s">
        <v>3</v>
      </c>
      <c r="E1" s="3" t="s">
        <v>4</v>
      </c>
      <c r="F1" s="106" t="s">
        <v>1385</v>
      </c>
      <c r="G1" s="3" t="s">
        <v>5</v>
      </c>
      <c r="H1" s="3" t="s">
        <v>6</v>
      </c>
      <c r="I1" s="4" t="s">
        <v>7</v>
      </c>
    </row>
    <row r="2" spans="1:9" ht="63.75">
      <c r="A2" s="5">
        <v>43109</v>
      </c>
      <c r="B2" s="32" t="str">
        <f>HYPERLINK("https://www.sas.ac.uk/","Univeristy of London, School of Advanced Study")</f>
        <v>Univeristy of London, School of Advanced Study</v>
      </c>
      <c r="C2" s="59" t="s">
        <v>8</v>
      </c>
      <c r="D2" s="6" t="str">
        <f>HYPERLINK("https://www.sas.ac.uk/support-research/fellowships/externally-funded-fellowships/british-academy-visiting-fellowships","British Academy Visiting Fellowships")</f>
        <v>British Academy Visiting Fellowships</v>
      </c>
      <c r="E2" s="9" t="s">
        <v>206</v>
      </c>
      <c r="F2" s="36" t="s">
        <v>157</v>
      </c>
      <c r="G2" s="10"/>
      <c r="H2" s="19" t="s">
        <v>211</v>
      </c>
      <c r="I2" s="40" t="s">
        <v>212</v>
      </c>
    </row>
    <row r="3" spans="1:9" ht="140.25">
      <c r="A3" s="21">
        <v>43114</v>
      </c>
      <c r="B3" s="32" t="str">
        <f>HYPERLINK("https://www.sas.ac.uk/","Univeristy of London, School of Advanced Study")</f>
        <v>Univeristy of London, School of Advanced Study</v>
      </c>
      <c r="C3" s="59" t="s">
        <v>8</v>
      </c>
      <c r="D3" s="6" t="str">
        <f>HYPERLINK("https://ics.sas.ac.uk/awards/fellowships","Institute of Classical Studies Fellowships")</f>
        <v>Institute of Classical Studies Fellowships</v>
      </c>
      <c r="E3" s="34" t="s">
        <v>156</v>
      </c>
      <c r="F3" s="36" t="s">
        <v>157</v>
      </c>
      <c r="G3" s="14"/>
      <c r="H3" s="19" t="s">
        <v>197</v>
      </c>
      <c r="I3" s="40" t="s">
        <v>198</v>
      </c>
    </row>
    <row r="4" spans="1:9" ht="89.25">
      <c r="A4" s="17">
        <v>43115</v>
      </c>
      <c r="B4" s="6" t="str">
        <f>HYPERLINK("https://www.brown.edu/academics/libraries/john-carter-brown/","John Carter Brown Library")</f>
        <v>John Carter Brown Library</v>
      </c>
      <c r="C4" s="24" t="s">
        <v>183</v>
      </c>
      <c r="D4" s="8" t="s">
        <v>369</v>
      </c>
      <c r="E4" s="9" t="s">
        <v>15</v>
      </c>
      <c r="F4" s="10" t="s">
        <v>350</v>
      </c>
      <c r="G4" s="14"/>
      <c r="H4" s="14" t="s">
        <v>370</v>
      </c>
      <c r="I4" s="16" t="s">
        <v>371</v>
      </c>
    </row>
    <row r="5" spans="1:9" ht="63.75">
      <c r="A5" s="5">
        <v>43115</v>
      </c>
      <c r="B5" s="6" t="str">
        <f>HYPERLINK("http://www.cam.ac.uk/","University of Cambridge")</f>
        <v>University of Cambridge</v>
      </c>
      <c r="C5" s="15" t="s">
        <v>8</v>
      </c>
      <c r="D5" s="6" t="str">
        <f>HYPERLINK("https://www.african.cam.ac.uk/research/travel/Fellowship","The Centre of African Studies Visiting Fellowship")</f>
        <v>The Centre of African Studies Visiting Fellowship</v>
      </c>
      <c r="E5" s="9" t="s">
        <v>552</v>
      </c>
      <c r="F5" s="10" t="s">
        <v>350</v>
      </c>
      <c r="G5" s="14"/>
      <c r="H5" s="44" t="s">
        <v>553</v>
      </c>
      <c r="I5" s="16" t="s">
        <v>554</v>
      </c>
    </row>
    <row r="6" spans="1:9" ht="204">
      <c r="A6" s="17">
        <v>43115</v>
      </c>
      <c r="B6" s="6" t="str">
        <f>HYPERLINK("https://www.ias.edu/","Institute for Advanced Study (IAS)")</f>
        <v>Institute for Advanced Study (IAS)</v>
      </c>
      <c r="C6" s="15" t="s">
        <v>8</v>
      </c>
      <c r="D6" s="8" t="s">
        <v>825</v>
      </c>
      <c r="E6" s="9" t="s">
        <v>101</v>
      </c>
      <c r="F6" s="10" t="s">
        <v>819</v>
      </c>
      <c r="G6" s="12"/>
      <c r="H6" s="44"/>
      <c r="I6" s="16" t="s">
        <v>826</v>
      </c>
    </row>
    <row r="7" spans="1:9" ht="191.25">
      <c r="A7" s="5">
        <v>43126</v>
      </c>
      <c r="B7" s="6" t="str">
        <f>HYPERLINK("https://www.nsf.gov/","National Science Foundation")</f>
        <v>National Science Foundation</v>
      </c>
      <c r="C7" s="7" t="s">
        <v>65</v>
      </c>
      <c r="D7" s="8" t="s">
        <v>1029</v>
      </c>
      <c r="E7" s="9" t="s">
        <v>60</v>
      </c>
      <c r="F7" s="10" t="s">
        <v>947</v>
      </c>
      <c r="G7" s="14"/>
      <c r="H7" s="44"/>
      <c r="I7" s="16" t="s">
        <v>1030</v>
      </c>
    </row>
    <row r="8" spans="1:9" ht="114.75">
      <c r="A8" s="5">
        <v>43127</v>
      </c>
      <c r="B8" s="32" t="str">
        <f>HYPERLINK("https://www.sas.ac.uk/","Univeristy of London, School of Advanced Study")</f>
        <v>Univeristy of London, School of Advanced Study</v>
      </c>
      <c r="C8" s="59" t="s">
        <v>8</v>
      </c>
      <c r="D8" s="6" t="str">
        <f>HYPERLINK("https://www.sas.ac.uk/support-research/fellowships/externally-funded-fellowships/newton-international-fellowships","Newton International Fellowships")</f>
        <v>Newton International Fellowships</v>
      </c>
      <c r="E8" s="9" t="s">
        <v>10</v>
      </c>
      <c r="F8" s="36" t="s">
        <v>157</v>
      </c>
      <c r="G8" s="44"/>
      <c r="H8" s="19" t="s">
        <v>273</v>
      </c>
      <c r="I8" s="40" t="s">
        <v>274</v>
      </c>
    </row>
    <row r="9" spans="1:9" ht="127.5">
      <c r="A9" s="5">
        <v>43131</v>
      </c>
      <c r="B9" s="6" t="str">
        <f>HYPERLINK("https://www.wilsoncenter.org/","Wilson Center")</f>
        <v>Wilson Center</v>
      </c>
      <c r="C9" s="7" t="s">
        <v>14</v>
      </c>
      <c r="D9" s="6" t="str">
        <f>HYPERLINK("https://www.wilsoncenter.org/kennan-institute-fellowships-and-internships","Title VIII Research and Summer Research Scholarships")</f>
        <v>Title VIII Research and Summer Research Scholarships</v>
      </c>
      <c r="E9" s="9" t="s">
        <v>614</v>
      </c>
      <c r="F9" s="10" t="s">
        <v>350</v>
      </c>
      <c r="G9" s="14" t="s">
        <v>50</v>
      </c>
      <c r="H9" s="10" t="s">
        <v>615</v>
      </c>
      <c r="I9" s="16" t="s">
        <v>616</v>
      </c>
    </row>
    <row r="10" spans="1:9" ht="127.5">
      <c r="A10" s="5">
        <v>43131</v>
      </c>
      <c r="B10" s="6" t="str">
        <f>HYPERLINK("http://aimsnorthafrica.org/","American Institute for Maghrib Studies")</f>
        <v>American Institute for Maghrib Studies</v>
      </c>
      <c r="C10" s="7" t="s">
        <v>8</v>
      </c>
      <c r="D10" s="8" t="s">
        <v>1007</v>
      </c>
      <c r="E10" s="9" t="s">
        <v>552</v>
      </c>
      <c r="F10" s="10" t="s">
        <v>947</v>
      </c>
      <c r="G10" s="12"/>
      <c r="H10" s="10"/>
      <c r="I10" s="16" t="s">
        <v>1008</v>
      </c>
    </row>
    <row r="11" spans="1:9" ht="102">
      <c r="A11" s="28">
        <v>43132</v>
      </c>
      <c r="B11" s="6" t="str">
        <f>HYPERLINK("https://sites.duke.edu/broadfoundation","Ruth K. Broad Foundation")</f>
        <v>Ruth K. Broad Foundation</v>
      </c>
      <c r="C11" s="15" t="s">
        <v>14</v>
      </c>
      <c r="D11" s="8" t="s">
        <v>129</v>
      </c>
      <c r="E11" s="9" t="s">
        <v>130</v>
      </c>
      <c r="F11" s="25" t="s">
        <v>22</v>
      </c>
      <c r="G11" s="25"/>
      <c r="H11" s="10"/>
      <c r="I11" s="16" t="s">
        <v>131</v>
      </c>
    </row>
    <row r="12" spans="1:9" ht="114.75">
      <c r="A12" s="17">
        <v>43132</v>
      </c>
      <c r="B12" s="6" t="str">
        <f>HYPERLINK("https://ircpl.columbia.edu/","Institute for Religion, Culture, and Public Life, Columbia Universtiy")</f>
        <v>Institute for Religion, Culture, and Public Life, Columbia Universtiy</v>
      </c>
      <c r="C12" s="7" t="s">
        <v>8</v>
      </c>
      <c r="D12" s="8" t="str">
        <f>HYPERLINK("http://ircpl.columbia.edu/resources/joint-projects/","Joint Projects")</f>
        <v>Joint Projects</v>
      </c>
      <c r="E12" s="44" t="s">
        <v>767</v>
      </c>
      <c r="F12" s="10" t="s">
        <v>911</v>
      </c>
      <c r="G12" s="21"/>
      <c r="H12" s="21"/>
      <c r="I12" s="29" t="s">
        <v>912</v>
      </c>
    </row>
    <row r="13" spans="1:9" ht="127.5">
      <c r="A13" s="17">
        <v>43132</v>
      </c>
      <c r="B13" s="23" t="str">
        <f>HYPERLINK("https://www.bbrfoundation.org/","Brain &amp; Behavior Research Foundation")</f>
        <v>Brain &amp; Behavior Research Foundation</v>
      </c>
      <c r="C13" s="7" t="s">
        <v>14</v>
      </c>
      <c r="D13" s="23" t="str">
        <f>HYPERLINK("https://www.bbrfoundation.org/grants-prizes/grants","NARSAD Young Investigator Grants")</f>
        <v>NARSAD Young Investigator Grants</v>
      </c>
      <c r="E13" s="22" t="s">
        <v>60</v>
      </c>
      <c r="F13" s="22" t="s">
        <v>947</v>
      </c>
      <c r="G13" s="22"/>
      <c r="H13" s="14" t="s">
        <v>1031</v>
      </c>
      <c r="I13" s="16" t="s">
        <v>1032</v>
      </c>
    </row>
    <row r="14" spans="1:9" ht="140.25">
      <c r="A14" s="5">
        <v>43132</v>
      </c>
      <c r="B14" s="6" t="str">
        <f>HYPERLINK("http://www.searlescholars.net/go.php?id=1","Searle Scholars Program")</f>
        <v>Searle Scholars Program</v>
      </c>
      <c r="C14" s="7" t="s">
        <v>14</v>
      </c>
      <c r="D14" s="8" t="s">
        <v>1033</v>
      </c>
      <c r="E14" s="9" t="s">
        <v>60</v>
      </c>
      <c r="F14" s="25" t="s">
        <v>947</v>
      </c>
      <c r="G14" s="25" t="s">
        <v>50</v>
      </c>
      <c r="H14" s="14" t="s">
        <v>1034</v>
      </c>
      <c r="I14" s="16" t="s">
        <v>1035</v>
      </c>
    </row>
    <row r="15" spans="1:9" ht="267.75">
      <c r="A15" s="17">
        <v>43132</v>
      </c>
      <c r="B15" s="6" t="str">
        <f>HYPERLINK("https://ircpl.columbia.edu/","Institute for Religion, Culture, and Public Life, Columbia Universtiy")</f>
        <v>Institute for Religion, Culture, and Public Life, Columbia Universtiy</v>
      </c>
      <c r="C15" s="7" t="s">
        <v>8</v>
      </c>
      <c r="D15" s="23" t="str">
        <f>HYPERLINK("https://ircpl.columbia.edu/2018/01/09/columbia-center-for-the-study-of-social-difference-call-for-proposals/","Research Project Funding")</f>
        <v>Research Project Funding</v>
      </c>
      <c r="E15" s="44" t="s">
        <v>124</v>
      </c>
      <c r="F15" s="10" t="s">
        <v>947</v>
      </c>
      <c r="G15" s="21"/>
      <c r="H15" s="21" t="s">
        <v>1191</v>
      </c>
      <c r="I15" s="29" t="s">
        <v>1192</v>
      </c>
    </row>
    <row r="16" spans="1:9" ht="153">
      <c r="A16" s="5">
        <v>43132</v>
      </c>
      <c r="B16" s="23" t="str">
        <f>HYPERLINK("https://www.archaeological.org/","Archeological Institute of America")</f>
        <v>Archeological Institute of America</v>
      </c>
      <c r="C16" s="7" t="s">
        <v>14</v>
      </c>
      <c r="D16" s="6" t="str">
        <f>HYPERLINK("https://www.archaeological.org/grants/23664","Richard C. MacDonald Iliad Endowment for Archaeological Research")</f>
        <v>Richard C. MacDonald Iliad Endowment for Archaeological Research</v>
      </c>
      <c r="E16" s="9" t="s">
        <v>705</v>
      </c>
      <c r="F16" s="10" t="s">
        <v>1260</v>
      </c>
      <c r="G16" s="10"/>
      <c r="H16" s="19">
        <v>20000</v>
      </c>
      <c r="I16" s="16" t="s">
        <v>1261</v>
      </c>
    </row>
    <row r="17" spans="1:9" ht="127.5">
      <c r="A17" s="5">
        <v>43132</v>
      </c>
      <c r="B17" s="23" t="str">
        <f>HYPERLINK("https://www.archaeological.org/","Archaeological Institute of America")</f>
        <v>Archaeological Institute of America</v>
      </c>
      <c r="C17" s="7" t="s">
        <v>14</v>
      </c>
      <c r="D17" s="30" t="str">
        <f>HYPERLINK("https://www.bwfund.org/grant-programs/biomedical-sciences/collaborative-research-travel-grants","Collaborative Research Travel Grant")</f>
        <v>Collaborative Research Travel Grant</v>
      </c>
      <c r="E17" s="9" t="s">
        <v>1308</v>
      </c>
      <c r="F17" s="10" t="s">
        <v>1299</v>
      </c>
      <c r="G17" s="14"/>
      <c r="H17" s="10" t="s">
        <v>180</v>
      </c>
      <c r="I17" s="16" t="s">
        <v>1309</v>
      </c>
    </row>
    <row r="18" spans="1:9" ht="216.75">
      <c r="A18" s="17">
        <v>43146</v>
      </c>
      <c r="B18" s="62" t="str">
        <f>HYPERLINK("http://www.arsc-audio.org/index.php","Association for Recorded Sound Collections (ARSC)")</f>
        <v>Association for Recorded Sound Collections (ARSC)</v>
      </c>
      <c r="C18" s="15" t="s">
        <v>14</v>
      </c>
      <c r="D18" s="6" t="str">
        <f>HYPERLINK("https://www.arts.gov/grants-organizations/art-works/media-arts","Media Arts Grants")</f>
        <v>Media Arts Grants</v>
      </c>
      <c r="E18" s="9" t="s">
        <v>49</v>
      </c>
      <c r="F18" s="22" t="s">
        <v>833</v>
      </c>
      <c r="G18" s="21"/>
      <c r="H18" s="44"/>
      <c r="I18" s="16" t="s">
        <v>854</v>
      </c>
    </row>
    <row r="19" spans="1:9" ht="204">
      <c r="A19" s="5">
        <v>43147</v>
      </c>
      <c r="B19" s="8" t="s">
        <v>579</v>
      </c>
      <c r="C19" s="15" t="s">
        <v>14</v>
      </c>
      <c r="D19" s="6" t="str">
        <f>HYPERLINK("http://ilsp.law.harvard.edu/how-to-apply/","Visiting Fellowship")</f>
        <v>Visiting Fellowship</v>
      </c>
      <c r="E19" s="22" t="s">
        <v>580</v>
      </c>
      <c r="F19" s="10" t="s">
        <v>350</v>
      </c>
      <c r="G19" s="44"/>
      <c r="H19" s="44" t="s">
        <v>581</v>
      </c>
      <c r="I19" s="16" t="s">
        <v>582</v>
      </c>
    </row>
    <row r="20" spans="1:9" ht="127.5">
      <c r="A20" s="5">
        <v>43152</v>
      </c>
      <c r="B20" s="6" t="str">
        <f>HYPERLINK("https://nyscf.org","NY Stem Cell Foundation")</f>
        <v>NY Stem Cell Foundation</v>
      </c>
      <c r="C20" s="7" t="s">
        <v>14</v>
      </c>
      <c r="D20" s="6" t="str">
        <f>HYPERLINK("https://nyscf.org/programs/extramural-grants/applicants/stem-cell-investigator-awards/","Stem Cell Investigator Awards")</f>
        <v>Stem Cell Investigator Awards</v>
      </c>
      <c r="E20" s="9" t="s">
        <v>60</v>
      </c>
      <c r="F20" s="9" t="s">
        <v>19</v>
      </c>
      <c r="G20" s="9" t="s">
        <v>50</v>
      </c>
      <c r="H20" s="10" t="s">
        <v>61</v>
      </c>
      <c r="I20" s="16" t="s">
        <v>62</v>
      </c>
    </row>
    <row r="21" spans="1:9" ht="140.25">
      <c r="A21" s="5">
        <v>43152</v>
      </c>
      <c r="B21" s="6" t="str">
        <f>HYPERLINK("https://nyscf.org","NY Stem Cell Foundation")</f>
        <v>NY Stem Cell Foundation</v>
      </c>
      <c r="C21" s="15" t="s">
        <v>14</v>
      </c>
      <c r="D21" s="8" t="s">
        <v>94</v>
      </c>
      <c r="E21" s="9" t="s">
        <v>95</v>
      </c>
      <c r="F21" s="44" t="s">
        <v>22</v>
      </c>
      <c r="G21" s="44"/>
      <c r="H21" s="14"/>
      <c r="I21" s="26" t="s">
        <v>96</v>
      </c>
    </row>
    <row r="22" spans="1:9" ht="102">
      <c r="A22" s="17">
        <v>43152</v>
      </c>
      <c r="B22" s="6" t="str">
        <f>HYPERLINK("https://nyscf.org","NY Stem Cell Foundation")</f>
        <v>NY Stem Cell Foundation</v>
      </c>
      <c r="C22" s="15" t="s">
        <v>14</v>
      </c>
      <c r="D22" s="6" t="str">
        <f>HYPERLINK("https://nyscf.org/programs/extramural-grants/applicants/neuroscience-investigator-awards/","Neuroscience Investigator Awards")</f>
        <v>Neuroscience Investigator Awards</v>
      </c>
      <c r="E22" s="9" t="s">
        <v>103</v>
      </c>
      <c r="F22" s="22" t="s">
        <v>19</v>
      </c>
      <c r="G22" s="22" t="s">
        <v>50</v>
      </c>
      <c r="H22" s="14" t="s">
        <v>61</v>
      </c>
      <c r="I22" s="26" t="s">
        <v>104</v>
      </c>
    </row>
    <row r="23" spans="1:9" ht="165.75">
      <c r="A23" s="5">
        <v>43154</v>
      </c>
      <c r="B23" s="23" t="str">
        <f>HYPERLINK("http://scienceandsociety.columbia.edu/","Columbia Science and Society")</f>
        <v>Columbia Science and Society</v>
      </c>
      <c r="C23" s="7" t="s">
        <v>8</v>
      </c>
      <c r="D23" s="23" t="str">
        <f>HYPERLINK("http://iserp.columbia.edu/funding/center-science-and-society-seed-grants","Seed Grants")</f>
        <v>Seed Grants</v>
      </c>
      <c r="E23" s="44" t="s">
        <v>1287</v>
      </c>
      <c r="F23" s="44" t="s">
        <v>1288</v>
      </c>
      <c r="G23" s="21"/>
      <c r="H23" s="21" t="s">
        <v>1289</v>
      </c>
      <c r="I23" s="29" t="s">
        <v>1290</v>
      </c>
    </row>
    <row r="24" spans="1:9" ht="114.75">
      <c r="A24" s="5">
        <v>43159</v>
      </c>
      <c r="B24" s="6" t="str">
        <f>HYPERLINK("https://www.apsanet.org/","American Political Science Association")</f>
        <v>American Political Science Association</v>
      </c>
      <c r="C24" s="7" t="s">
        <v>14</v>
      </c>
      <c r="D24" s="8" t="s">
        <v>126</v>
      </c>
      <c r="E24" s="9" t="s">
        <v>127</v>
      </c>
      <c r="F24" s="10" t="s">
        <v>19</v>
      </c>
      <c r="G24" s="14"/>
      <c r="H24" s="44"/>
      <c r="I24" s="16" t="s">
        <v>128</v>
      </c>
    </row>
    <row r="25" spans="1:9" ht="127.5">
      <c r="A25" s="5">
        <v>43159</v>
      </c>
      <c r="B25" s="6" t="str">
        <f>HYPERLINK("http://www.arsc-audio.org/","Association for Recorded Sound Collections (ARSC)")</f>
        <v>Association for Recorded Sound Collections (ARSC)</v>
      </c>
      <c r="C25" s="7" t="s">
        <v>14</v>
      </c>
      <c r="D25" s="6" t="str">
        <f>HYPERLINK("http://www.arsc-audio.org/committees/grant-programs.html","Research grants")</f>
        <v>Research grants</v>
      </c>
      <c r="E25" s="22" t="s">
        <v>58</v>
      </c>
      <c r="F25" s="44" t="s">
        <v>833</v>
      </c>
      <c r="G25" s="44"/>
      <c r="H25" s="19">
        <v>1000</v>
      </c>
      <c r="I25" s="16" t="s">
        <v>891</v>
      </c>
    </row>
    <row r="26" spans="1:9" ht="89.25">
      <c r="A26" s="5">
        <v>43160</v>
      </c>
      <c r="B26" s="23" t="str">
        <f>HYPERLINK("https://www.aps.org","American Psychological Society")</f>
        <v>American Psychological Society</v>
      </c>
      <c r="C26" s="15" t="s">
        <v>14</v>
      </c>
      <c r="D26" s="6" t="str">
        <f>HYPERLINK("http://www.aps.org/programs/honors/fellowships/","APS Fellows")</f>
        <v>APS Fellows</v>
      </c>
      <c r="E26" s="9" t="s">
        <v>101</v>
      </c>
      <c r="F26" s="10" t="s">
        <v>337</v>
      </c>
      <c r="G26" s="10"/>
      <c r="H26" s="44"/>
      <c r="I26" s="16" t="s">
        <v>338</v>
      </c>
    </row>
    <row r="27" spans="1:9" ht="127.5">
      <c r="A27" s="5">
        <v>43160</v>
      </c>
      <c r="B27" s="6" t="str">
        <f>HYPERLINK("http://librarycompany.org","Library Company of Philadelphia")</f>
        <v>Library Company of Philadelphia</v>
      </c>
      <c r="C27" s="15" t="s">
        <v>183</v>
      </c>
      <c r="D27" s="6" t="str">
        <f>HYPERLINK("http://librarycompany.org/academic-programs/fellowships/short-term/","Short-Term Fellowships")</f>
        <v>Short-Term Fellowships</v>
      </c>
      <c r="E27" s="9" t="s">
        <v>15</v>
      </c>
      <c r="F27" s="10" t="s">
        <v>350</v>
      </c>
      <c r="G27" s="14"/>
      <c r="H27" s="19">
        <v>2000</v>
      </c>
      <c r="I27" s="16" t="s">
        <v>372</v>
      </c>
    </row>
    <row r="28" spans="1:9" ht="216.75">
      <c r="A28" s="5">
        <v>43160</v>
      </c>
      <c r="B28" s="6" t="str">
        <f>HYPERLINK("ibrarycompany.org/","Library Company of Philadeplhia")</f>
        <v>Library Company of Philadeplhia</v>
      </c>
      <c r="C28" s="7" t="s">
        <v>14</v>
      </c>
      <c r="D28" s="6" t="str">
        <f>HYPERLINK("http://librarycompany.org/academic-programs/fellowships/application/","Mellon Scholars Fellowship Program")</f>
        <v>Mellon Scholars Fellowship Program</v>
      </c>
      <c r="E28" s="9" t="s">
        <v>15</v>
      </c>
      <c r="F28" s="10" t="s">
        <v>350</v>
      </c>
      <c r="G28" s="14"/>
      <c r="H28" s="14" t="s">
        <v>373</v>
      </c>
      <c r="I28" s="16" t="s">
        <v>374</v>
      </c>
    </row>
    <row r="29" spans="1:9" ht="153">
      <c r="A29" s="5">
        <v>43160</v>
      </c>
      <c r="B29" s="6" t="str">
        <f>HYPERLINK("https://ethics.utoronto.ca/","Center for Ethics University of Toronto")</f>
        <v>Center for Ethics University of Toronto</v>
      </c>
      <c r="C29" s="49" t="s">
        <v>8</v>
      </c>
      <c r="D29" s="20" t="s">
        <v>406</v>
      </c>
      <c r="E29" s="9" t="s">
        <v>159</v>
      </c>
      <c r="F29" s="44" t="s">
        <v>350</v>
      </c>
      <c r="G29" s="44"/>
      <c r="H29" s="44"/>
      <c r="I29" s="16" t="s">
        <v>407</v>
      </c>
    </row>
    <row r="30" spans="1:9" ht="114.75">
      <c r="A30" s="17">
        <v>43160</v>
      </c>
      <c r="B30" s="6" t="str">
        <f>HYPERLINK("https://www.folger.edu/","Folger Shakespeare Library")</f>
        <v>Folger Shakespeare Library</v>
      </c>
      <c r="C30" s="7" t="s">
        <v>183</v>
      </c>
      <c r="D30" s="6" t="str">
        <f>HYPERLINK("https://www.folger.edu/about-fellowships","Short Term Fellowship")</f>
        <v>Short Term Fellowship</v>
      </c>
      <c r="E30" s="9" t="s">
        <v>460</v>
      </c>
      <c r="F30" s="22" t="s">
        <v>350</v>
      </c>
      <c r="G30" s="22"/>
      <c r="H30" s="14" t="s">
        <v>461</v>
      </c>
      <c r="I30" s="16" t="s">
        <v>459</v>
      </c>
    </row>
    <row r="31" spans="1:9" ht="192">
      <c r="A31" s="5">
        <v>43160</v>
      </c>
      <c r="B31" s="6" t="str">
        <f>HYPERLINK("https://oead.at/de/","OEAD, Austria")</f>
        <v>OEAD, Austria</v>
      </c>
      <c r="C31" s="22" t="s">
        <v>14</v>
      </c>
      <c r="D31" s="64" t="str">
        <f>HYPERLINK("https://oead.at/de/nach-oesterreich/stipendien/franz-werfel-stipendium/","Franz Werfel Scholarship")</f>
        <v>Franz Werfel Scholarship</v>
      </c>
      <c r="E31" s="9" t="s">
        <v>544</v>
      </c>
      <c r="F31" s="22" t="s">
        <v>367</v>
      </c>
      <c r="G31" s="22" t="s">
        <v>50</v>
      </c>
      <c r="H31" s="22" t="s">
        <v>545</v>
      </c>
      <c r="I31" s="65" t="s">
        <v>546</v>
      </c>
    </row>
    <row r="32" spans="1:9" ht="102">
      <c r="A32" s="5">
        <v>43160</v>
      </c>
      <c r="B32" s="6" t="str">
        <f>HYPERLINK("https://iias.asia","International Institute for Asian Studies")</f>
        <v>International Institute for Asian Studies</v>
      </c>
      <c r="C32" s="15" t="s">
        <v>8</v>
      </c>
      <c r="D32" s="23" t="str">
        <f>HYPERLINK("https://iias.asia/page/iias-fellowship-application","IIAS Fellowship")</f>
        <v>IIAS Fellowship</v>
      </c>
      <c r="E32" s="9" t="s">
        <v>559</v>
      </c>
      <c r="F32" s="25" t="s">
        <v>350</v>
      </c>
      <c r="G32" s="22"/>
      <c r="H32" s="10" t="s">
        <v>560</v>
      </c>
      <c r="I32" s="16" t="s">
        <v>561</v>
      </c>
    </row>
    <row r="33" spans="1:9" ht="38.25">
      <c r="A33" s="5">
        <v>43160</v>
      </c>
      <c r="B33" s="6" t="str">
        <f>HYPERLINK("https://www.neh.gov/","National Endowment for the Humanitites")</f>
        <v>National Endowment for the Humanitites</v>
      </c>
      <c r="C33" s="24" t="s">
        <v>65</v>
      </c>
      <c r="D33" s="8" t="s">
        <v>821</v>
      </c>
      <c r="E33" s="9" t="s">
        <v>40</v>
      </c>
      <c r="F33" s="10" t="s">
        <v>819</v>
      </c>
      <c r="G33" s="14"/>
      <c r="H33" s="14" t="s">
        <v>822</v>
      </c>
      <c r="I33" s="16" t="s">
        <v>823</v>
      </c>
    </row>
    <row r="34" spans="1:9">
      <c r="A34" s="5">
        <v>43160</v>
      </c>
      <c r="B34" s="8" t="s">
        <v>1040</v>
      </c>
      <c r="C34" s="7" t="s">
        <v>14</v>
      </c>
      <c r="D34" s="8" t="s">
        <v>984</v>
      </c>
      <c r="E34" s="9" t="s">
        <v>60</v>
      </c>
      <c r="F34" s="25" t="s">
        <v>947</v>
      </c>
      <c r="G34" s="25"/>
      <c r="H34" s="14"/>
      <c r="I34" s="16" t="s">
        <v>63</v>
      </c>
    </row>
    <row r="35" spans="1:9" ht="140.25">
      <c r="A35" s="17">
        <v>43160</v>
      </c>
      <c r="B35" s="6" t="str">
        <f>HYPERLINK("http://www.apa.org/apf/index.aspx","Brain Research Foundation")</f>
        <v>Brain Research Foundation</v>
      </c>
      <c r="C35" s="7" t="s">
        <v>14</v>
      </c>
      <c r="D35" s="6" t="str">
        <f>HYPERLINK("http://www.apa.org/apf/funding/rosen.aspx","Esther Katz Rosen Fund")</f>
        <v>Esther Katz Rosen Fund</v>
      </c>
      <c r="E35" s="9" t="s">
        <v>1256</v>
      </c>
      <c r="F35" s="10" t="s">
        <v>1257</v>
      </c>
      <c r="G35" s="10"/>
      <c r="H35" s="14" t="s">
        <v>1258</v>
      </c>
      <c r="I35" s="16" t="s">
        <v>1259</v>
      </c>
    </row>
    <row r="36" spans="1:9" ht="89.25">
      <c r="A36" s="17">
        <v>43160</v>
      </c>
      <c r="B36" s="6" t="str">
        <f>HYPERLINK("http://saba.abainternational.org/","Society for the Advancement of Behavioral Analysis")</f>
        <v>Society for the Advancement of Behavioral Analysis</v>
      </c>
      <c r="C36" s="7" t="s">
        <v>14</v>
      </c>
      <c r="D36" s="8" t="s">
        <v>1369</v>
      </c>
      <c r="E36" s="9" t="s">
        <v>132</v>
      </c>
      <c r="F36" s="22"/>
      <c r="G36" s="22"/>
      <c r="H36" s="19">
        <v>1000</v>
      </c>
      <c r="I36" s="16" t="s">
        <v>1370</v>
      </c>
    </row>
    <row r="37" spans="1:9" ht="102">
      <c r="A37" s="5">
        <v>43161</v>
      </c>
      <c r="B37" s="6" t="str">
        <f>HYPERLINK("https://www.amphilsoc.org/","American Philosophical Society")</f>
        <v>American Philosophical Society</v>
      </c>
      <c r="C37" s="15" t="s">
        <v>14</v>
      </c>
      <c r="D37" s="6" t="str">
        <f>HYPERLINK("https://www.amphilsoc.org/grants/digital-humanities-fellowships","Digital Humanities Fellowship")</f>
        <v>Digital Humanities Fellowship</v>
      </c>
      <c r="E37" s="9" t="s">
        <v>159</v>
      </c>
      <c r="F37" s="10" t="s">
        <v>350</v>
      </c>
      <c r="G37" s="14"/>
      <c r="H37" s="19">
        <v>3000</v>
      </c>
      <c r="I37" s="16" t="s">
        <v>413</v>
      </c>
    </row>
    <row r="38" spans="1:9" ht="255">
      <c r="A38" s="5">
        <v>43161</v>
      </c>
      <c r="B38" s="6" t="str">
        <f>HYPERLINK("http://www.midatlanticarts.org/","Mid Atlantic Arts Foundation")</f>
        <v>Mid Atlantic Arts Foundation</v>
      </c>
      <c r="C38" s="15" t="s">
        <v>14</v>
      </c>
      <c r="D38" s="6" t="str">
        <f>HYPERLINK("http://www.midatlanticarts.org/grants-programs/grants-for-organizations/#artsconnect","ArtsCONNECT")</f>
        <v>ArtsCONNECT</v>
      </c>
      <c r="E38" s="9" t="s">
        <v>49</v>
      </c>
      <c r="F38" s="44" t="s">
        <v>833</v>
      </c>
      <c r="G38" s="44"/>
      <c r="H38" s="10" t="s">
        <v>855</v>
      </c>
      <c r="I38" s="16" t="s">
        <v>856</v>
      </c>
    </row>
    <row r="39" spans="1:9" ht="76.5">
      <c r="A39" s="5">
        <v>43161</v>
      </c>
      <c r="B39" s="6" t="str">
        <f>HYPERLINK("https://classicalstudies.org/","Society for Classical Studies")</f>
        <v>Society for Classical Studies</v>
      </c>
      <c r="C39" s="7" t="s">
        <v>14</v>
      </c>
      <c r="D39" s="6" t="str">
        <f>HYPERLINK("https://classicalstudies.org/awards-and-fellowships/pedagogy-award","Pedagogy Award")</f>
        <v>Pedagogy Award</v>
      </c>
      <c r="E39" s="9" t="s">
        <v>1291</v>
      </c>
      <c r="F39" s="10"/>
      <c r="G39" s="14"/>
      <c r="H39" s="19" t="s">
        <v>1374</v>
      </c>
      <c r="I39" s="16" t="s">
        <v>1375</v>
      </c>
    </row>
    <row r="40" spans="1:9" ht="178.5">
      <c r="A40" s="17">
        <v>43165</v>
      </c>
      <c r="B40" s="30" t="str">
        <f>HYPERLINK("https://www.knightfoundation.org/","Knight Foundation")</f>
        <v>Knight Foundation</v>
      </c>
      <c r="C40" s="7" t="s">
        <v>14</v>
      </c>
      <c r="D40" s="6" t="str">
        <f>HYPERLINK("https://www.knightfoundation.org/articles/how-can-we-use-technology-to-connect-people-to-the-arts-knight-seeks-ideas","Knight Prototype Fund")</f>
        <v>Knight Prototype Fund</v>
      </c>
      <c r="E40" s="9" t="s">
        <v>40</v>
      </c>
      <c r="F40" s="22" t="s">
        <v>835</v>
      </c>
      <c r="G40" s="21"/>
      <c r="H40" s="19">
        <v>50000</v>
      </c>
      <c r="I40" s="16" t="s">
        <v>844</v>
      </c>
    </row>
    <row r="41" spans="1:9" ht="102">
      <c r="A41" s="5">
        <v>43166</v>
      </c>
      <c r="B41" s="6" t="str">
        <f>HYPERLINK("https://www.arts.gov/","National Endowment for the Arts")</f>
        <v>National Endowment for the Arts</v>
      </c>
      <c r="C41" s="15" t="s">
        <v>65</v>
      </c>
      <c r="D41" s="6" t="str">
        <f>HYPERLINK("https://www.arts.gov/grants-individuals/creative-writing-fellowships","Creative Writing Fellowships")</f>
        <v>Creative Writing Fellowships</v>
      </c>
      <c r="E41" s="9" t="s">
        <v>244</v>
      </c>
      <c r="F41" s="10" t="s">
        <v>163</v>
      </c>
      <c r="G41" s="14"/>
      <c r="H41" s="19">
        <v>25000</v>
      </c>
      <c r="I41" s="16" t="s">
        <v>245</v>
      </c>
    </row>
    <row r="42" spans="1:9" ht="267.75">
      <c r="A42" s="5">
        <v>43172</v>
      </c>
      <c r="B42" s="6" t="str">
        <f>HYPERLINK("https://www.arts.gov/","National Endowment for the Arts")</f>
        <v>National Endowment for the Arts</v>
      </c>
      <c r="C42" s="15" t="s">
        <v>65</v>
      </c>
      <c r="D42" s="8" t="s">
        <v>787</v>
      </c>
      <c r="E42" s="9" t="s">
        <v>40</v>
      </c>
      <c r="F42" s="22" t="s">
        <v>788</v>
      </c>
      <c r="G42" s="21"/>
      <c r="H42" s="14"/>
      <c r="I42" s="16" t="s">
        <v>789</v>
      </c>
    </row>
    <row r="43" spans="1:9" ht="25.5">
      <c r="A43" s="5">
        <v>43173</v>
      </c>
      <c r="B43" s="6" t="str">
        <f>HYPERLINK("http://www.sontagfoundation.org/","Sontag Foundation")</f>
        <v>Sontag Foundation</v>
      </c>
      <c r="C43" s="7" t="s">
        <v>14</v>
      </c>
      <c r="D43" s="6" t="str">
        <f>HYPERLINK("http://www.sontagfoundation.org/all-grants/brain-cancer/","Brain Cancer Research Distinguished Scientist Awards")</f>
        <v>Brain Cancer Research Distinguished Scientist Awards</v>
      </c>
      <c r="E43" s="9" t="s">
        <v>60</v>
      </c>
      <c r="F43" s="25" t="s">
        <v>19</v>
      </c>
      <c r="G43" s="25"/>
      <c r="H43" s="14"/>
      <c r="I43" s="16" t="s">
        <v>63</v>
      </c>
    </row>
    <row r="44" spans="1:9" ht="191.25">
      <c r="A44" s="5">
        <v>43174</v>
      </c>
      <c r="B44" s="6" t="str">
        <f>HYPERLINK("https://wp.stolaf.edu/","St. Olaf College")</f>
        <v>St. Olaf College</v>
      </c>
      <c r="C44" s="7" t="s">
        <v>8</v>
      </c>
      <c r="D44" s="6" t="str">
        <f>HYPERLINK("https://wp.stolaf.edu/kierkegaard/summer-fellows/","Summer Fellows Program for Research in Residence")</f>
        <v>Summer Fellows Program for Research in Residence</v>
      </c>
      <c r="E44" s="9" t="s">
        <v>159</v>
      </c>
      <c r="F44" s="25" t="s">
        <v>350</v>
      </c>
      <c r="G44" s="22"/>
      <c r="H44" s="14"/>
      <c r="I44" s="16" t="s">
        <v>468</v>
      </c>
    </row>
    <row r="45" spans="1:9" ht="216.75">
      <c r="A45" s="5">
        <v>43175</v>
      </c>
      <c r="B45" s="6" t="str">
        <f>HYPERLINK("https://www.ned.org/","National Endowment for Democracy")</f>
        <v>National Endowment for Democracy</v>
      </c>
      <c r="C45" s="15" t="s">
        <v>14</v>
      </c>
      <c r="D45" s="6" t="str">
        <f>HYPERLINK("https://www.ned.org/apply-for-grant/en/","Grants")</f>
        <v>Grants</v>
      </c>
      <c r="E45" s="9" t="s">
        <v>124</v>
      </c>
      <c r="F45" s="25" t="s">
        <v>759</v>
      </c>
      <c r="G45" s="48"/>
      <c r="H45" s="14" t="s">
        <v>765</v>
      </c>
      <c r="I45" s="16" t="s">
        <v>766</v>
      </c>
    </row>
    <row r="46" spans="1:9" ht="114.75">
      <c r="A46" s="71">
        <v>43178</v>
      </c>
      <c r="B46" s="6" t="str">
        <f>HYPERLINK("https://presidentialscholars.columbia.edu/","Columbia Presidential Scholars")</f>
        <v>Columbia Presidential Scholars</v>
      </c>
      <c r="C46" s="7" t="s">
        <v>8</v>
      </c>
      <c r="D46" s="8" t="str">
        <f>HYPERLINK("http://presidentialscholars.columbia.edu/loi-seed-grants-2018/","Faculty Seed Grants for Interdisciplinary Projects in Society and Neuroscience")</f>
        <v>Faculty Seed Grants for Interdisciplinary Projects in Society and Neuroscience</v>
      </c>
      <c r="E46" s="44" t="s">
        <v>1380</v>
      </c>
      <c r="F46" s="10"/>
      <c r="G46" s="21" t="s">
        <v>1381</v>
      </c>
      <c r="H46" s="21" t="s">
        <v>351</v>
      </c>
      <c r="I46" s="92" t="s">
        <v>1382</v>
      </c>
    </row>
    <row r="47" spans="1:9" ht="178.5">
      <c r="A47" s="17">
        <v>43180</v>
      </c>
      <c r="B47" s="6" t="str">
        <f>HYPERLINK("nga.gov","National Gallery of Art")</f>
        <v>National Gallery of Art</v>
      </c>
      <c r="C47" s="49" t="s">
        <v>183</v>
      </c>
      <c r="D47" s="20" t="s">
        <v>355</v>
      </c>
      <c r="E47" s="22" t="s">
        <v>177</v>
      </c>
      <c r="F47" s="10" t="s">
        <v>350</v>
      </c>
      <c r="G47" s="14" t="s">
        <v>356</v>
      </c>
      <c r="H47" s="14" t="s">
        <v>357</v>
      </c>
      <c r="I47" s="16" t="s">
        <v>358</v>
      </c>
    </row>
    <row r="48" spans="1:9" ht="204">
      <c r="A48" s="5">
        <v>43182</v>
      </c>
      <c r="B48" s="6" t="str">
        <f>HYPERLINK("http://frenchhistorysociety.co.uk/","French HIstory Society")</f>
        <v>French HIstory Society</v>
      </c>
      <c r="C48" s="49" t="s">
        <v>14</v>
      </c>
      <c r="D48" s="6" t="str">
        <f>HYPERLINK("http://frenchhistorysociety.co.uk/visiting_scholars.htm","Visiting Scholars Scheme")</f>
        <v>Visiting Scholars Scheme</v>
      </c>
      <c r="E48" s="9" t="s">
        <v>569</v>
      </c>
      <c r="F48" s="25" t="s">
        <v>350</v>
      </c>
      <c r="G48" s="25"/>
      <c r="H48" s="14" t="s">
        <v>570</v>
      </c>
      <c r="I48" s="16" t="s">
        <v>571</v>
      </c>
    </row>
    <row r="49" spans="1:9" ht="114.75">
      <c r="A49" s="71">
        <v>43185</v>
      </c>
      <c r="B49" s="6" t="str">
        <f>HYPERLINK("https://www.mcknight.org/","McKnight Foundation")</f>
        <v>McKnight Foundation</v>
      </c>
      <c r="C49" s="7" t="s">
        <v>14</v>
      </c>
      <c r="D49" s="23" t="str">
        <f>HYPERLINK("https://www.mcknight.org/programs/the-mcknight-endowment-fund-for-neuroscience/memory-cognitive-disorders-awards/","Memory and Cognitive Disorders Award")</f>
        <v>Memory and Cognitive Disorders Award</v>
      </c>
      <c r="E49" s="9" t="s">
        <v>105</v>
      </c>
      <c r="F49" s="44" t="s">
        <v>19</v>
      </c>
      <c r="G49" s="44"/>
      <c r="H49" s="14"/>
      <c r="I49" s="16" t="s">
        <v>106</v>
      </c>
    </row>
    <row r="50" spans="1:9" ht="242.25">
      <c r="A50" s="5">
        <v>43185</v>
      </c>
      <c r="B50" s="6" t="str">
        <f>HYPERLINK("http://www.quaibranly.fr","Musee de Quai Branly")</f>
        <v>Musee de Quai Branly</v>
      </c>
      <c r="C50" s="15" t="s">
        <v>183</v>
      </c>
      <c r="D50" s="8" t="s">
        <v>644</v>
      </c>
      <c r="E50" s="9" t="s">
        <v>10</v>
      </c>
      <c r="F50" s="10" t="s">
        <v>645</v>
      </c>
      <c r="G50" s="10" t="s">
        <v>646</v>
      </c>
      <c r="H50" s="69" t="s">
        <v>647</v>
      </c>
      <c r="I50" s="16" t="s">
        <v>648</v>
      </c>
    </row>
    <row r="51" spans="1:9" ht="63.75">
      <c r="A51" s="71">
        <v>43187</v>
      </c>
      <c r="B51" s="6" t="str">
        <f>HYPERLINK("http://cavecanempoets.org/","Cave Canem")</f>
        <v>Cave Canem</v>
      </c>
      <c r="C51" s="7" t="s">
        <v>14</v>
      </c>
      <c r="D51" s="6" t="str">
        <f>HYPERLINK("http://cavecanempoets.org/residencies-for-fellows/community-of-writers-at-squaw-valley/","Community of Writers at Squaw Valley Workshop Scholarships")</f>
        <v>Community of Writers at Squaw Valley Workshop Scholarships</v>
      </c>
      <c r="E51" s="22" t="s">
        <v>244</v>
      </c>
      <c r="F51" s="10" t="s">
        <v>819</v>
      </c>
      <c r="G51" s="44"/>
      <c r="H51" s="19">
        <v>1565</v>
      </c>
      <c r="I51" s="47" t="s">
        <v>824</v>
      </c>
    </row>
    <row r="52" spans="1:9" ht="178.5">
      <c r="A52" s="5">
        <v>43187</v>
      </c>
      <c r="B52" s="6" t="str">
        <f>HYPERLINK("https://classicalstudies.org/","Society for Classical Studies")</f>
        <v>Society for Classical Studies</v>
      </c>
      <c r="C52" s="7" t="s">
        <v>14</v>
      </c>
      <c r="D52" s="6" t="str">
        <f>HYPERLINK("https://classicalstudies.org/awards-and-fellowships/ludwig-koenen-fellowship-training-papyrology","Ludwig Koenen Fellowship for Training in Papyrology")</f>
        <v>Ludwig Koenen Fellowship for Training in Papyrology</v>
      </c>
      <c r="E52" s="9" t="s">
        <v>1291</v>
      </c>
      <c r="F52" s="10" t="s">
        <v>1292</v>
      </c>
      <c r="G52" s="14"/>
      <c r="H52" s="19" t="s">
        <v>1293</v>
      </c>
      <c r="I52" s="16" t="s">
        <v>1294</v>
      </c>
    </row>
    <row r="53" spans="1:9" ht="216.75">
      <c r="A53" s="5">
        <v>43189</v>
      </c>
      <c r="B53" s="6" t="str">
        <f>HYPERLINK("http://turkishstudies.org/index.shtml","Institute of Turkish Studies")</f>
        <v>Institute of Turkish Studies</v>
      </c>
      <c r="C53" s="15" t="s">
        <v>8</v>
      </c>
      <c r="D53" s="6" t="str">
        <f>HYPERLINK("http://turkishstudies.org/grants/grants_competition.shtml","Grants in Turkish and Ottoman Studies for Publication of Scholarly Books and Journals, Academic Conferences, and Teaching Aids")</f>
        <v>Grants in Turkish and Ottoman Studies for Publication of Scholarly Books and Journals, Academic Conferences, and Teaching Aids</v>
      </c>
      <c r="E53" s="9" t="s">
        <v>580</v>
      </c>
      <c r="F53" s="44" t="s">
        <v>1183</v>
      </c>
      <c r="G53" s="10"/>
      <c r="H53" s="44" t="s">
        <v>1330</v>
      </c>
      <c r="I53" s="16" t="s">
        <v>1331</v>
      </c>
    </row>
    <row r="54" spans="1:9" ht="178.5">
      <c r="A54" s="5">
        <v>43190</v>
      </c>
      <c r="B54" s="23" t="str">
        <f>HYPERLINK("https://www.spencer.org/","John Templeton Foundation")</f>
        <v>John Templeton Foundation</v>
      </c>
      <c r="C54" s="15" t="s">
        <v>14</v>
      </c>
      <c r="D54" s="8" t="s">
        <v>248</v>
      </c>
      <c r="E54" s="9" t="s">
        <v>10</v>
      </c>
      <c r="F54" s="10" t="s">
        <v>163</v>
      </c>
      <c r="G54" s="14"/>
      <c r="H54" s="10" t="s">
        <v>249</v>
      </c>
      <c r="I54" s="16" t="s">
        <v>250</v>
      </c>
    </row>
    <row r="55" spans="1:9" ht="102">
      <c r="A55" s="17">
        <v>43190</v>
      </c>
      <c r="B55" s="6" t="str">
        <f>HYPERLINK("http://www.botstiber.org","Botstiber Institute")</f>
        <v>Botstiber Institute</v>
      </c>
      <c r="C55" s="7" t="s">
        <v>8</v>
      </c>
      <c r="D55" s="6" t="str">
        <f>HYPERLINK("http://www.botstiber.org/austrian/ceu/index.html","Botstiber Fellowship in Transatlantic Austrian and Central European Relationships")</f>
        <v>Botstiber Fellowship in Transatlantic Austrian and Central European Relationships</v>
      </c>
      <c r="E55" s="22" t="s">
        <v>569</v>
      </c>
      <c r="F55" s="25" t="s">
        <v>350</v>
      </c>
      <c r="G55" s="14"/>
      <c r="H55" s="10" t="s">
        <v>572</v>
      </c>
      <c r="I55" s="16" t="s">
        <v>573</v>
      </c>
    </row>
    <row r="56" spans="1:9" ht="102">
      <c r="A56" s="5">
        <v>43190</v>
      </c>
      <c r="B56" s="6" t="str">
        <f>HYPERLINK("https://hornefamilyfoundation.org/","Horne Family Foundation")</f>
        <v>Horne Family Foundation</v>
      </c>
      <c r="C56" s="15" t="s">
        <v>14</v>
      </c>
      <c r="D56" s="6" t="str">
        <f>HYPERLINK("https://hornefamilyfoundation.org/grant-applicants/","Grants")</f>
        <v>Grants</v>
      </c>
      <c r="E56" s="22" t="s">
        <v>751</v>
      </c>
      <c r="F56" s="25" t="s">
        <v>752</v>
      </c>
      <c r="G56" s="25"/>
      <c r="H56" s="14" t="s">
        <v>753</v>
      </c>
      <c r="I56" s="16" t="s">
        <v>754</v>
      </c>
    </row>
    <row r="57" spans="1:9" ht="140.25">
      <c r="A57" s="71">
        <v>43190</v>
      </c>
      <c r="B57" s="6" t="str">
        <f>HYPERLINK("https://www.accessgroup.org/","Access group")</f>
        <v>Access group</v>
      </c>
      <c r="C57" s="24" t="s">
        <v>69</v>
      </c>
      <c r="D57" s="8" t="s">
        <v>809</v>
      </c>
      <c r="E57" s="22" t="s">
        <v>810</v>
      </c>
      <c r="F57" s="25" t="s">
        <v>788</v>
      </c>
      <c r="G57" s="25"/>
      <c r="H57" s="44"/>
      <c r="I57" s="47" t="s">
        <v>811</v>
      </c>
    </row>
    <row r="58" spans="1:9" ht="102.75">
      <c r="A58" s="71">
        <v>43190</v>
      </c>
      <c r="B58" s="6" t="str">
        <f>HYPERLINK("http://www.botstiber.org","Botstiber Institute")</f>
        <v>Botstiber Institute</v>
      </c>
      <c r="C58" s="24" t="s">
        <v>8</v>
      </c>
      <c r="D58" s="8" t="s">
        <v>812</v>
      </c>
      <c r="E58" s="22" t="s">
        <v>569</v>
      </c>
      <c r="F58" s="25" t="s">
        <v>813</v>
      </c>
      <c r="G58" s="25"/>
      <c r="H58" s="44" t="s">
        <v>769</v>
      </c>
      <c r="I58" s="72" t="s">
        <v>814</v>
      </c>
    </row>
    <row r="59" spans="1:9" ht="51">
      <c r="A59" s="71">
        <v>43190</v>
      </c>
      <c r="B59" s="6" t="str">
        <f>HYPERLINK("https://grandchallenges.org/#/map","Grand Challenges")</f>
        <v>Grand Challenges</v>
      </c>
      <c r="C59" s="24" t="s">
        <v>14</v>
      </c>
      <c r="D59" s="8" t="s">
        <v>151</v>
      </c>
      <c r="E59" s="22" t="s">
        <v>10</v>
      </c>
      <c r="F59" s="44" t="s">
        <v>1275</v>
      </c>
      <c r="G59" s="44"/>
      <c r="H59" s="44"/>
      <c r="I59" s="47" t="s">
        <v>1276</v>
      </c>
    </row>
    <row r="60" spans="1:9" ht="63.75">
      <c r="A60" s="71">
        <v>43191</v>
      </c>
      <c r="B60" s="6" t="str">
        <f>HYPERLINK("http://www.bradyeducationfoundation.org/home.html","Brady Education Fund")</f>
        <v>Brady Education Fund</v>
      </c>
      <c r="C60" s="24" t="s">
        <v>14</v>
      </c>
      <c r="D60" s="8" t="s">
        <v>151</v>
      </c>
      <c r="E60" s="22" t="s">
        <v>152</v>
      </c>
      <c r="F60" s="44" t="s">
        <v>153</v>
      </c>
      <c r="G60" s="44"/>
      <c r="H60" s="44"/>
      <c r="I60" s="47" t="s">
        <v>154</v>
      </c>
    </row>
    <row r="61" spans="1:9" ht="153">
      <c r="A61" s="31">
        <v>43191</v>
      </c>
      <c r="B61" s="32" t="str">
        <f>HYPERLINK("https://www.paris-iea.fr/en/","Institut D'Etudes Avancees De Paris")</f>
        <v>Institut D'Etudes Avancees De Paris</v>
      </c>
      <c r="C61" s="33" t="s">
        <v>8</v>
      </c>
      <c r="D61" s="32" t="str">
        <f>HYPERLINK("https://www.paris-iea.fr/en/apply/calls-for-applications/appel-non-thematique-pour-des-residences-en-2019-2020","Fellowships")</f>
        <v>Fellowships</v>
      </c>
      <c r="E61" s="34" t="s">
        <v>206</v>
      </c>
      <c r="F61" s="35" t="s">
        <v>157</v>
      </c>
      <c r="G61" s="36"/>
      <c r="H61" s="36"/>
      <c r="I61" s="38" t="s">
        <v>207</v>
      </c>
    </row>
    <row r="62" spans="1:9" ht="89.25">
      <c r="A62" s="31">
        <v>43191</v>
      </c>
      <c r="B62" s="32" t="str">
        <f>HYPERLINK("https://nias.knaw.nl/","Netherlands Institute for Advanced Study ")</f>
        <v xml:space="preserve">Netherlands Institute for Advanced Study </v>
      </c>
      <c r="C62" s="33" t="s">
        <v>8</v>
      </c>
      <c r="D62" s="32" t="str">
        <f>HYPERLINK("https://nias.knaw.nl/fellowships/individual-fellowship-applicants-dutch-affiliation/","Fellowships")</f>
        <v>Fellowships</v>
      </c>
      <c r="E62" s="34" t="s">
        <v>206</v>
      </c>
      <c r="F62" s="35" t="s">
        <v>163</v>
      </c>
      <c r="G62" s="36"/>
      <c r="H62" s="37"/>
      <c r="I62" s="38" t="s">
        <v>208</v>
      </c>
    </row>
    <row r="63" spans="1:9" ht="191.25">
      <c r="A63" s="71">
        <v>43191</v>
      </c>
      <c r="B63" s="6" t="str">
        <f>HYPERLINK("https://www.historians.org/","American Historical Association")</f>
        <v>American Historical Association</v>
      </c>
      <c r="C63" s="22" t="s">
        <v>14</v>
      </c>
      <c r="D63" s="6" t="str">
        <f>HYPERLINK("https://www.historians.org/awards-and-grants/grants-and-fellowships/fellowships-in-aerospace-history","Fellowship in Aerospace History")</f>
        <v>Fellowship in Aerospace History</v>
      </c>
      <c r="E63" s="22" t="s">
        <v>15</v>
      </c>
      <c r="F63" s="25" t="s">
        <v>157</v>
      </c>
      <c r="G63" s="25"/>
      <c r="H63" s="19" t="s">
        <v>277</v>
      </c>
      <c r="I63" s="47" t="s">
        <v>278</v>
      </c>
    </row>
    <row r="64" spans="1:9" ht="76.5">
      <c r="A64" s="71">
        <v>43191</v>
      </c>
      <c r="B64" s="6" t="str">
        <f>HYPERLINK("http://www.kressfoundation.org","Kress Foundation")</f>
        <v>Kress Foundation</v>
      </c>
      <c r="C64" s="24" t="s">
        <v>14</v>
      </c>
      <c r="D64" s="6" t="str">
        <f>HYPERLINK("http://www.kressfoundation.org/fellowships/interpretive/","Interpretive Fellowships at Art Museums")</f>
        <v>Interpretive Fellowships at Art Museums</v>
      </c>
      <c r="E64" s="22" t="s">
        <v>177</v>
      </c>
      <c r="F64" s="44" t="s">
        <v>350</v>
      </c>
      <c r="G64" s="44" t="s">
        <v>50</v>
      </c>
      <c r="H64" s="19">
        <v>30000</v>
      </c>
      <c r="I64" s="47" t="s">
        <v>359</v>
      </c>
    </row>
    <row r="65" spans="1:9" ht="63.75">
      <c r="A65" s="71">
        <v>43191</v>
      </c>
      <c r="B65" s="6" t="str">
        <f>HYPERLINK("https://www.historians.org/","American Historical Association")</f>
        <v>American Historical Association</v>
      </c>
      <c r="C65" s="22" t="s">
        <v>14</v>
      </c>
      <c r="D65" s="8" t="s">
        <v>375</v>
      </c>
      <c r="E65" s="9" t="s">
        <v>15</v>
      </c>
      <c r="F65" s="22" t="s">
        <v>350</v>
      </c>
      <c r="G65" s="10" t="s">
        <v>50</v>
      </c>
      <c r="H65" s="19">
        <v>5000</v>
      </c>
      <c r="I65" s="16" t="s">
        <v>376</v>
      </c>
    </row>
    <row r="66" spans="1:9" ht="153">
      <c r="A66" s="5">
        <v>43191</v>
      </c>
      <c r="B66" s="6" t="str">
        <f>HYPERLINK("https://www.monticello.org/","Thomas Jefferson Foundation")</f>
        <v>Thomas Jefferson Foundation</v>
      </c>
      <c r="C66" s="15" t="s">
        <v>14</v>
      </c>
      <c r="D66" s="6" t="str">
        <f>HYPERLINK("https://www.monticello.org/site/research-and-collections/batten-first-union-and-peter-nicolaisen-international-fellowships","Short Term Fellowships")</f>
        <v>Short Term Fellowships</v>
      </c>
      <c r="E66" s="9" t="s">
        <v>397</v>
      </c>
      <c r="F66" s="44" t="s">
        <v>350</v>
      </c>
      <c r="G66" s="14"/>
      <c r="H66" s="19" t="s">
        <v>398</v>
      </c>
      <c r="I66" s="16" t="s">
        <v>399</v>
      </c>
    </row>
    <row r="67" spans="1:9" ht="89.25">
      <c r="A67" s="71">
        <v>43191</v>
      </c>
      <c r="B67" s="6" t="str">
        <f>HYPERLINK("http://www.fahsbeckfund.org/","Fahs Beck Fund")</f>
        <v>Fahs Beck Fund</v>
      </c>
      <c r="C67" s="7" t="s">
        <v>14</v>
      </c>
      <c r="D67" s="8" t="s">
        <v>993</v>
      </c>
      <c r="E67" s="9" t="s">
        <v>10</v>
      </c>
      <c r="F67" s="25" t="s">
        <v>947</v>
      </c>
      <c r="G67" s="25"/>
      <c r="H67" s="10" t="s">
        <v>914</v>
      </c>
      <c r="I67" s="16" t="s">
        <v>994</v>
      </c>
    </row>
    <row r="68" spans="1:9" ht="204">
      <c r="A68" s="71">
        <v>43191</v>
      </c>
      <c r="B68" s="6" t="str">
        <f>HYPERLINK("http://www.apa.org/apf/","American Psychological Association")</f>
        <v>American Psychological Association</v>
      </c>
      <c r="C68" s="24" t="s">
        <v>14</v>
      </c>
      <c r="D68" s="8" t="s">
        <v>1041</v>
      </c>
      <c r="E68" s="22" t="s">
        <v>60</v>
      </c>
      <c r="F68" s="25" t="s">
        <v>947</v>
      </c>
      <c r="G68" s="25" t="s">
        <v>1042</v>
      </c>
      <c r="H68" s="44" t="s">
        <v>914</v>
      </c>
      <c r="I68" s="47" t="s">
        <v>1043</v>
      </c>
    </row>
    <row r="69" spans="1:9" ht="63.75">
      <c r="A69" s="71">
        <v>43191</v>
      </c>
      <c r="B69" s="6" t="str">
        <f>HYPERLINK("http://teachpsych.org/index.php","Society for the Teaching of Psychology")</f>
        <v>Society for the Teaching of Psychology</v>
      </c>
      <c r="C69" s="24" t="s">
        <v>14</v>
      </c>
      <c r="D69" s="6" t="str">
        <f>HYPERLINK("http://teachpsych.org/members/awards/sage.php","SAGE Teaching Innovations &amp; Professional Development Award")</f>
        <v>SAGE Teaching Innovations &amp; Professional Development Award</v>
      </c>
      <c r="E69" s="22" t="s">
        <v>132</v>
      </c>
      <c r="F69" s="22" t="s">
        <v>1299</v>
      </c>
      <c r="G69" s="10"/>
      <c r="H69" s="19">
        <v>1250</v>
      </c>
      <c r="I69" s="47" t="s">
        <v>1312</v>
      </c>
    </row>
    <row r="70" spans="1:9" ht="89.25">
      <c r="A70" s="5">
        <v>43195</v>
      </c>
      <c r="B70" s="6" t="str">
        <f>HYPERLINK("http://www.midatlanticarts.org/","Mid Atlantic Arts Foundation")</f>
        <v>Mid Atlantic Arts Foundation</v>
      </c>
      <c r="C70" s="24" t="s">
        <v>14</v>
      </c>
      <c r="D70" s="8" t="s">
        <v>827</v>
      </c>
      <c r="E70" s="9" t="s">
        <v>49</v>
      </c>
      <c r="F70" s="44" t="s">
        <v>828</v>
      </c>
      <c r="G70" s="10"/>
      <c r="H70" s="44" t="s">
        <v>180</v>
      </c>
      <c r="I70" s="47" t="s">
        <v>829</v>
      </c>
    </row>
    <row r="71" spans="1:9" ht="255">
      <c r="A71" s="5">
        <v>43199</v>
      </c>
      <c r="B71" s="6" t="str">
        <f>HYPERLINK("https://brown.columbia.edu/about/","Columbia Brown Institute")</f>
        <v>Columbia Brown Institute</v>
      </c>
      <c r="C71" s="24" t="s">
        <v>8</v>
      </c>
      <c r="D71" s="6" t="str">
        <f>HYPERLINK("https://brown.columbia.edu/propose/","Magic Grant")</f>
        <v>Magic Grant</v>
      </c>
      <c r="E71" s="44" t="s">
        <v>10</v>
      </c>
      <c r="F71" s="44" t="s">
        <v>833</v>
      </c>
      <c r="G71" s="21"/>
      <c r="H71" s="74">
        <v>150000</v>
      </c>
      <c r="I71" s="29" t="s">
        <v>875</v>
      </c>
    </row>
    <row r="72" spans="1:9" ht="63.75">
      <c r="A72" s="71">
        <v>43201</v>
      </c>
      <c r="B72" s="6" t="str">
        <f>HYPERLINK("https://www.neh.gov/","National Endowment for the Humanities")</f>
        <v>National Endowment for the Humanities</v>
      </c>
      <c r="C72" s="24" t="s">
        <v>65</v>
      </c>
      <c r="D72" s="8" t="s">
        <v>329</v>
      </c>
      <c r="E72" s="22" t="s">
        <v>10</v>
      </c>
      <c r="F72" s="44" t="s">
        <v>163</v>
      </c>
      <c r="G72" s="25"/>
      <c r="H72" s="44" t="s">
        <v>330</v>
      </c>
      <c r="I72" s="47" t="s">
        <v>331</v>
      </c>
    </row>
    <row r="73" spans="1:9" ht="126">
      <c r="A73" s="71">
        <v>43201</v>
      </c>
      <c r="B73" s="6" t="str">
        <f>HYPERLINK("http://www.joycefdn.org/","Joyce Foundation")</f>
        <v>Joyce Foundation</v>
      </c>
      <c r="C73" s="24" t="s">
        <v>14</v>
      </c>
      <c r="D73" s="6" t="str">
        <f>HYPERLINK("http://www.joycefdn.org/apply","Grants")</f>
        <v>Grants</v>
      </c>
      <c r="E73" s="22" t="s">
        <v>10</v>
      </c>
      <c r="F73" s="44" t="s">
        <v>788</v>
      </c>
      <c r="G73" s="10"/>
      <c r="H73" s="44" t="s">
        <v>760</v>
      </c>
      <c r="I73" s="47" t="s">
        <v>799</v>
      </c>
    </row>
    <row r="74" spans="1:9" ht="165.75">
      <c r="A74" s="71">
        <v>43201</v>
      </c>
      <c r="B74" s="6" t="str">
        <f>HYPERLINK("https://www.neh.gov/","National Endowment for the Humanities")</f>
        <v>National Endowment for the Humanities</v>
      </c>
      <c r="C74" s="24" t="s">
        <v>65</v>
      </c>
      <c r="D74" s="8" t="s">
        <v>876</v>
      </c>
      <c r="E74" s="22" t="s">
        <v>10</v>
      </c>
      <c r="F74" s="25" t="s">
        <v>833</v>
      </c>
      <c r="G74" s="25"/>
      <c r="H74" s="44"/>
      <c r="I74" s="47" t="s">
        <v>877</v>
      </c>
    </row>
    <row r="75" spans="1:9" ht="204">
      <c r="A75" s="71">
        <v>43202</v>
      </c>
      <c r="B75" s="6" t="str">
        <f>HYPERLINK("https://www.nih.gov/","National Institutes of Health")</f>
        <v>National Institutes of Health</v>
      </c>
      <c r="C75" s="24" t="s">
        <v>65</v>
      </c>
      <c r="D75" s="8" t="s">
        <v>803</v>
      </c>
      <c r="E75" s="22" t="s">
        <v>60</v>
      </c>
      <c r="F75" s="22" t="s">
        <v>788</v>
      </c>
      <c r="G75" s="22"/>
      <c r="H75" s="44"/>
      <c r="I75" s="47" t="s">
        <v>804</v>
      </c>
    </row>
    <row r="76" spans="1:9" ht="216.75">
      <c r="A76" s="71">
        <v>43202</v>
      </c>
      <c r="B76" s="6" t="str">
        <f>HYPERLINK("https://www.arts.gov/","National Endowment for the Arts")</f>
        <v>National Endowment for the Arts</v>
      </c>
      <c r="C76" s="24" t="s">
        <v>65</v>
      </c>
      <c r="D76" s="30" t="str">
        <f>HYPERLINK("https://www.arts.gov/grants-organizations/challenge-america/grant-program-description","Challange America Grants")</f>
        <v>Challange America Grants</v>
      </c>
      <c r="E76" s="22" t="s">
        <v>49</v>
      </c>
      <c r="F76" s="44" t="s">
        <v>937</v>
      </c>
      <c r="G76" s="44"/>
      <c r="H76" s="19">
        <v>10000</v>
      </c>
      <c r="I76" s="47" t="s">
        <v>938</v>
      </c>
    </row>
    <row r="77" spans="1:9" ht="140.25">
      <c r="A77" s="5">
        <v>43204</v>
      </c>
      <c r="B77" s="6" t="str">
        <f>HYPERLINK("https://www.morrisanimalfoundation.org/","Morris Animal Foundation ")</f>
        <v xml:space="preserve">Morris Animal Foundation </v>
      </c>
      <c r="C77" s="15" t="s">
        <v>14</v>
      </c>
      <c r="D77" s="23" t="str">
        <f>HYPERLINK("http://www.morrisanimalfoundation.org/researchers/","Large Companion Animal Grant")</f>
        <v>Large Companion Animal Grant</v>
      </c>
      <c r="E77" s="9" t="s">
        <v>60</v>
      </c>
      <c r="F77" s="22" t="s">
        <v>947</v>
      </c>
      <c r="G77" s="22"/>
      <c r="H77" s="44" t="s">
        <v>765</v>
      </c>
      <c r="I77" s="16" t="s">
        <v>1044</v>
      </c>
    </row>
    <row r="78" spans="1:9" ht="255">
      <c r="A78" s="71">
        <v>43204</v>
      </c>
      <c r="B78" s="6" t="str">
        <f>HYPERLINK("http://www.whitehall.org/about/","Whitehall Foundation")</f>
        <v>Whitehall Foundation</v>
      </c>
      <c r="C78" s="24" t="s">
        <v>14</v>
      </c>
      <c r="D78" s="6" t="str">
        <f>HYPERLINK("http://www.whitehall.org/about/","Research Grants")</f>
        <v>Research Grants</v>
      </c>
      <c r="E78" s="22" t="s">
        <v>60</v>
      </c>
      <c r="F78" s="25" t="s">
        <v>947</v>
      </c>
      <c r="G78" s="25"/>
      <c r="H78" s="44" t="s">
        <v>1045</v>
      </c>
      <c r="I78" s="47" t="s">
        <v>1046</v>
      </c>
    </row>
    <row r="79" spans="1:9" ht="331.5">
      <c r="A79" s="71">
        <v>43204</v>
      </c>
      <c r="B79" s="6" t="str">
        <f>HYPERLINK("http://www.whitehall.org/about/","Whitehall Foundation")</f>
        <v>Whitehall Foundation</v>
      </c>
      <c r="C79" s="24" t="s">
        <v>14</v>
      </c>
      <c r="D79" s="6" t="str">
        <f>HYPERLINK("http://www.whitehall.org/about/","Research Grants and Grants-in-Aid")</f>
        <v>Research Grants and Grants-in-Aid</v>
      </c>
      <c r="E79" s="22" t="s">
        <v>60</v>
      </c>
      <c r="F79" s="25" t="s">
        <v>947</v>
      </c>
      <c r="G79" s="22"/>
      <c r="H79" s="44"/>
      <c r="I79" s="47" t="s">
        <v>1047</v>
      </c>
    </row>
    <row r="80" spans="1:9" ht="25.5">
      <c r="A80" s="71">
        <v>43205</v>
      </c>
      <c r="B80" s="6" t="str">
        <f>HYPERLINK("http://www.apa.org/apf/","American Psychological Association")</f>
        <v>American Psychological Association</v>
      </c>
      <c r="C80" s="24" t="s">
        <v>14</v>
      </c>
      <c r="D80" s="8" t="s">
        <v>64</v>
      </c>
      <c r="E80" s="22" t="s">
        <v>60</v>
      </c>
      <c r="F80" s="25" t="s">
        <v>19</v>
      </c>
      <c r="G80" s="25"/>
      <c r="H80" s="44"/>
      <c r="I80" s="47" t="s">
        <v>63</v>
      </c>
    </row>
    <row r="81" spans="1:9" ht="38.25">
      <c r="A81" s="71">
        <v>43205</v>
      </c>
      <c r="B81" s="6" t="str">
        <f>HYPERLINK("http://www.congregationallibrary.org/","Congregational Library")</f>
        <v>Congregational Library</v>
      </c>
      <c r="C81" s="24" t="s">
        <v>14</v>
      </c>
      <c r="D81" s="23" t="str">
        <f>HYPERLINK("http://www.congregationallibrary.org/researchers/research-scholarships","Boston Athenæum Fellowship")</f>
        <v>Boston Athenæum Fellowship</v>
      </c>
      <c r="E81" s="22" t="s">
        <v>15</v>
      </c>
      <c r="F81" s="44" t="s">
        <v>350</v>
      </c>
      <c r="G81" s="44"/>
      <c r="H81" s="44" t="s">
        <v>377</v>
      </c>
      <c r="I81" s="47" t="s">
        <v>378</v>
      </c>
    </row>
    <row r="82" spans="1:9" ht="127.5">
      <c r="A82" s="5">
        <v>43205</v>
      </c>
      <c r="B82" s="6" t="str">
        <f>HYPERLINK("http://www.bfny.org/","Bogliasco Foundation")</f>
        <v>Bogliasco Foundation</v>
      </c>
      <c r="C82" s="24" t="s">
        <v>14</v>
      </c>
      <c r="D82" s="8" t="s">
        <v>455</v>
      </c>
      <c r="E82" s="9" t="s">
        <v>366</v>
      </c>
      <c r="F82" s="22" t="s">
        <v>350</v>
      </c>
      <c r="G82" s="22"/>
      <c r="H82" s="44" t="s">
        <v>456</v>
      </c>
      <c r="I82" s="47" t="s">
        <v>457</v>
      </c>
    </row>
    <row r="83" spans="1:9" ht="140.25">
      <c r="A83" s="71">
        <v>43205</v>
      </c>
      <c r="B83" s="6" t="str">
        <f>HYPERLINK("https://www.einsteinforum.de/","Einstein Forum")</f>
        <v>Einstein Forum</v>
      </c>
      <c r="C83" s="24" t="s">
        <v>14</v>
      </c>
      <c r="D83" s="6" t="str">
        <f>HYPERLINK("http://www.einsteinforum.de/about/fellowship/?lang=en","The Einstein Fellowship")</f>
        <v>The Einstein Fellowship</v>
      </c>
      <c r="E83" s="22" t="s">
        <v>10</v>
      </c>
      <c r="F83" s="44" t="s">
        <v>350</v>
      </c>
      <c r="G83" s="44"/>
      <c r="H83" s="44" t="s">
        <v>500</v>
      </c>
      <c r="I83" s="47" t="s">
        <v>501</v>
      </c>
    </row>
    <row r="84" spans="1:9" ht="178.5">
      <c r="A84" s="71">
        <v>43206</v>
      </c>
      <c r="B84" s="6" t="str">
        <f>HYPERLINK("nsf.gov","National Science Foundation")</f>
        <v>National Science Foundation</v>
      </c>
      <c r="C84" s="24" t="s">
        <v>65</v>
      </c>
      <c r="D84" s="6" t="str">
        <f>HYPERLINK("https://www.nsf.gov/pubs/2018/nsf18548/nsf18548.htm","Future of Work at the Human-Technology Frontier: Advancing Cognitive and Physical Capabilities  (FW-HTF)")</f>
        <v>Future of Work at the Human-Technology Frontier: Advancing Cognitive and Physical Capabilities  (FW-HTF)</v>
      </c>
      <c r="E84" s="22" t="s">
        <v>10</v>
      </c>
      <c r="F84" s="22" t="s">
        <v>980</v>
      </c>
      <c r="G84" s="21"/>
      <c r="H84" s="44" t="s">
        <v>995</v>
      </c>
      <c r="I84" s="47" t="s">
        <v>996</v>
      </c>
    </row>
    <row r="85" spans="1:9" ht="165.75">
      <c r="A85" s="71">
        <v>43208</v>
      </c>
      <c r="B85" s="6" t="str">
        <f>HYPERLINK("nsf.gov","National Science Foundation")</f>
        <v>National Science Foundation</v>
      </c>
      <c r="C85" s="24" t="s">
        <v>65</v>
      </c>
      <c r="D85" s="8" t="s">
        <v>1247</v>
      </c>
      <c r="E85" s="22" t="s">
        <v>60</v>
      </c>
      <c r="F85" s="44" t="s">
        <v>1248</v>
      </c>
      <c r="G85" s="44"/>
      <c r="H85" s="44"/>
      <c r="I85" s="47" t="s">
        <v>1249</v>
      </c>
    </row>
    <row r="86" spans="1:9" ht="140.25">
      <c r="A86" s="71">
        <v>43210</v>
      </c>
      <c r="B86" s="52" t="str">
        <f>HYPERLINK("http://www.jp2center.org/","John Paul II Center")</f>
        <v>John Paul II Center</v>
      </c>
      <c r="C86" s="24" t="s">
        <v>8</v>
      </c>
      <c r="D86" s="6" t="str">
        <f>HYPERLINK("http://www.jp2center.org/programs/fellowship/","John Paul II Center for Interreligious Studies Fellowship in Interreligious Studies")</f>
        <v>John Paul II Center for Interreligious Studies Fellowship in Interreligious Studies</v>
      </c>
      <c r="E86" s="22" t="s">
        <v>202</v>
      </c>
      <c r="F86" s="44" t="s">
        <v>350</v>
      </c>
      <c r="G86" s="44"/>
      <c r="H86" s="44"/>
      <c r="I86" s="47" t="s">
        <v>396</v>
      </c>
    </row>
    <row r="87" spans="1:9" ht="178.5">
      <c r="A87" s="71">
        <v>43210</v>
      </c>
      <c r="B87" s="6" t="str">
        <f>HYPERLINK("https://lgbts.yale.edu/","Yale LGBT Studies")</f>
        <v>Yale LGBT Studies</v>
      </c>
      <c r="C87" s="24"/>
      <c r="D87" s="8" t="s">
        <v>636</v>
      </c>
      <c r="E87" s="22" t="s">
        <v>637</v>
      </c>
      <c r="F87" s="44" t="s">
        <v>350</v>
      </c>
      <c r="G87" s="25"/>
      <c r="H87" s="19">
        <v>4000</v>
      </c>
      <c r="I87" s="47" t="s">
        <v>638</v>
      </c>
    </row>
    <row r="88" spans="1:9" ht="165.75">
      <c r="A88" s="31">
        <v>43212</v>
      </c>
      <c r="B88" s="32" t="str">
        <f>HYPERLINK("https://www.unimelb.edu.au/","University of Melbourne")</f>
        <v>University of Melbourne</v>
      </c>
      <c r="C88" s="39" t="s">
        <v>8</v>
      </c>
      <c r="D88" s="32" t="str">
        <f>HYPERLINK("https://museumsandcollections.unimelb.edu.au/fellowships_and_awards/redmond_barry_fellowship#home","Redmond Barry Fellowship")</f>
        <v>Redmond Barry Fellowship</v>
      </c>
      <c r="E88" s="34" t="s">
        <v>169</v>
      </c>
      <c r="F88" s="35" t="s">
        <v>157</v>
      </c>
      <c r="G88" s="35"/>
      <c r="H88" s="37">
        <v>20000</v>
      </c>
      <c r="I88" s="38" t="s">
        <v>170</v>
      </c>
    </row>
    <row r="89" spans="1:9" ht="204">
      <c r="A89" s="71">
        <v>43215</v>
      </c>
      <c r="B89" s="6" t="str">
        <f>HYPERLINK("neh.gov","National Endowment for the Humanities")</f>
        <v>National Endowment for the Humanities</v>
      </c>
      <c r="C89" s="24" t="s">
        <v>65</v>
      </c>
      <c r="D89" s="8" t="s">
        <v>300</v>
      </c>
      <c r="E89" s="22" t="s">
        <v>124</v>
      </c>
      <c r="F89" s="25" t="s">
        <v>163</v>
      </c>
      <c r="G89" s="25"/>
      <c r="H89" s="44"/>
      <c r="I89" s="47" t="s">
        <v>301</v>
      </c>
    </row>
    <row r="90" spans="1:9">
      <c r="A90" s="71">
        <v>43215</v>
      </c>
      <c r="B90" s="6" t="str">
        <f>HYPERLINK("https://www.pmi.org/","Project Management Institute")</f>
        <v>Project Management Institute</v>
      </c>
      <c r="C90" s="24" t="s">
        <v>8</v>
      </c>
      <c r="D90" s="8" t="s">
        <v>1337</v>
      </c>
      <c r="E90" s="22" t="s">
        <v>10</v>
      </c>
      <c r="F90" s="25"/>
      <c r="G90" s="25"/>
      <c r="H90" s="44"/>
      <c r="I90" s="47" t="s">
        <v>63</v>
      </c>
    </row>
    <row r="91" spans="1:9" ht="293.25">
      <c r="A91" s="5">
        <v>43220</v>
      </c>
      <c r="B91" s="6" t="str">
        <f>HYPERLINK("https://breakthroughprize.org/","Breakthrough Prize")</f>
        <v>Breakthrough Prize</v>
      </c>
      <c r="C91" s="15" t="s">
        <v>14</v>
      </c>
      <c r="D91" s="6" t="str">
        <f>HYPERLINK("https://breakthroughprize.org/News/42","Breakthrough Prizes in Fundamental Physics, Life Sciences, and Mathematics and New Horizons Prizes")</f>
        <v>Breakthrough Prizes in Fundamental Physics, Life Sciences, and Mathematics and New Horizons Prizes</v>
      </c>
      <c r="E91" s="9" t="s">
        <v>76</v>
      </c>
      <c r="F91" s="44" t="s">
        <v>19</v>
      </c>
      <c r="G91" s="14"/>
      <c r="H91" s="44"/>
      <c r="I91" s="16" t="s">
        <v>77</v>
      </c>
    </row>
    <row r="92" spans="1:9" ht="153">
      <c r="A92" s="5">
        <v>43220</v>
      </c>
      <c r="B92" s="6" t="str">
        <f>HYPERLINK("http://www.nla.gov.au/","National Library of Australia")</f>
        <v>National Library of Australia</v>
      </c>
      <c r="C92" s="41" t="s">
        <v>183</v>
      </c>
      <c r="D92" s="42" t="str">
        <f>HYPERLINK("http://www.nla.gov.au/awards-and-grants/fellowships-and-scholarships/national-library-of-australia-fellowships/application-guidelines","National Library of Australia Fellowships")</f>
        <v>National Library of Australia Fellowships</v>
      </c>
      <c r="E92" s="9" t="s">
        <v>10</v>
      </c>
      <c r="F92" s="10" t="s">
        <v>163</v>
      </c>
      <c r="G92" s="10"/>
      <c r="H92" s="44" t="s">
        <v>251</v>
      </c>
      <c r="I92" s="16" t="s">
        <v>252</v>
      </c>
    </row>
    <row r="93" spans="1:9" ht="51">
      <c r="A93" s="21">
        <v>43220</v>
      </c>
      <c r="B93" s="32" t="str">
        <f>HYPERLINK("https://www.sas.ac.uk/","Univeristy of London, School of Advanced Study")</f>
        <v>Univeristy of London, School of Advanced Study</v>
      </c>
      <c r="C93" s="59" t="s">
        <v>8</v>
      </c>
      <c r="D93" s="24" t="s">
        <v>289</v>
      </c>
      <c r="E93" s="34" t="s">
        <v>284</v>
      </c>
      <c r="F93" s="36" t="s">
        <v>157</v>
      </c>
      <c r="G93" s="10"/>
      <c r="H93" s="19" t="s">
        <v>167</v>
      </c>
      <c r="I93" s="40" t="s">
        <v>290</v>
      </c>
    </row>
    <row r="94" spans="1:9" ht="140.25">
      <c r="A94" s="5">
        <v>43220</v>
      </c>
      <c r="B94" s="6" t="str">
        <f>HYPERLINK("usda.gov","United States Department of Agriculture")</f>
        <v>United States Department of Agriculture</v>
      </c>
      <c r="C94" s="61" t="s">
        <v>65</v>
      </c>
      <c r="D94" s="62" t="str">
        <f>HYPERLINK("https://www.grants.gov/web/grants/view-opportunity.html?oppId=300327","2019 National Urban and Community Forestry Grant Program")</f>
        <v>2019 National Urban and Community Forestry Grant Program</v>
      </c>
      <c r="E94" s="9" t="s">
        <v>60</v>
      </c>
      <c r="F94" s="44" t="s">
        <v>980</v>
      </c>
      <c r="G94" s="44"/>
      <c r="H94" s="44" t="s">
        <v>1048</v>
      </c>
      <c r="I94" s="16" t="s">
        <v>1049</v>
      </c>
    </row>
    <row r="95" spans="1:9" ht="25.5">
      <c r="A95" s="71">
        <v>43220</v>
      </c>
      <c r="B95" s="6" t="str">
        <f>HYPERLINK("https://www.ashfoundation.org/","Ash Foundation")</f>
        <v>Ash Foundation</v>
      </c>
      <c r="C95" s="15" t="s">
        <v>14</v>
      </c>
      <c r="D95" s="23" t="str">
        <f>HYPERLINK("https://www.ashfoundation.org/Apply/New-Investigators-Research-Grant/","New Investigators Research Grant, American Speech-Language-Hearing Foundation")</f>
        <v>New Investigators Research Grant, American Speech-Language-Hearing Foundation</v>
      </c>
      <c r="E95" s="9" t="s">
        <v>124</v>
      </c>
      <c r="F95" s="25" t="s">
        <v>947</v>
      </c>
      <c r="G95" s="25"/>
      <c r="H95" s="44"/>
      <c r="I95" s="16" t="s">
        <v>63</v>
      </c>
    </row>
    <row r="96" spans="1:9" ht="102">
      <c r="A96" s="5">
        <v>43221</v>
      </c>
      <c r="B96" s="6" t="str">
        <f>HYPERLINK("http://rescorp.org/","Research Corporation")</f>
        <v>Research Corporation</v>
      </c>
      <c r="C96" s="15" t="s">
        <v>14</v>
      </c>
      <c r="D96" s="6" t="str">
        <f>HYPERLINK("http://rescorp.org/cottrell-scholars/cottrell-scholar-award/guidelines","Cotrell Scholars Award")</f>
        <v>Cotrell Scholars Award</v>
      </c>
      <c r="E96" s="9" t="s">
        <v>73</v>
      </c>
      <c r="F96" s="10" t="s">
        <v>19</v>
      </c>
      <c r="G96" s="10" t="s">
        <v>67</v>
      </c>
      <c r="H96" s="19" t="s">
        <v>74</v>
      </c>
      <c r="I96" s="16" t="s">
        <v>75</v>
      </c>
    </row>
    <row r="97" spans="1:9" ht="51">
      <c r="A97" s="21">
        <v>43221</v>
      </c>
      <c r="B97" s="32" t="str">
        <f>HYPERLINK("https://www.sas.ac.uk/","Univeristy of London, School of Advanced Study")</f>
        <v>Univeristy of London, School of Advanced Study</v>
      </c>
      <c r="C97" s="59" t="s">
        <v>8</v>
      </c>
      <c r="D97" s="24" t="s">
        <v>192</v>
      </c>
      <c r="E97" s="34" t="s">
        <v>15</v>
      </c>
      <c r="F97" s="36" t="s">
        <v>157</v>
      </c>
      <c r="G97" s="14"/>
      <c r="H97" s="19" t="s">
        <v>155</v>
      </c>
      <c r="I97" s="40" t="s">
        <v>193</v>
      </c>
    </row>
    <row r="98" spans="1:9" ht="89.25">
      <c r="A98" s="21">
        <v>43221</v>
      </c>
      <c r="B98" s="32" t="str">
        <f>HYPERLINK("https://www.sas.ac.uk/","Univeristy of London, School of Advanced Study")</f>
        <v>Univeristy of London, School of Advanced Study</v>
      </c>
      <c r="C98" s="59" t="s">
        <v>8</v>
      </c>
      <c r="D98" s="24" t="s">
        <v>287</v>
      </c>
      <c r="E98" s="34" t="s">
        <v>284</v>
      </c>
      <c r="F98" s="36" t="s">
        <v>157</v>
      </c>
      <c r="G98" s="14"/>
      <c r="H98" s="19" t="s">
        <v>155</v>
      </c>
      <c r="I98" s="40" t="s">
        <v>288</v>
      </c>
    </row>
    <row r="99" spans="1:9" ht="89.25">
      <c r="A99" s="5">
        <v>43221</v>
      </c>
      <c r="B99" s="6" t="str">
        <f>HYPERLINK("http://www.wennergren.org/","Wenner Gren Foundation")</f>
        <v>Wenner Gren Foundation</v>
      </c>
      <c r="C99" s="44" t="s">
        <v>14</v>
      </c>
      <c r="D99" s="45" t="str">
        <f>HYPERLINK("http://www.wennergren.org/programs/fejos-postdoctoral-fellowships","Fejos Postdoctoral Fellowship in Ethnographic Film")</f>
        <v>Fejos Postdoctoral Fellowship in Ethnographic Film</v>
      </c>
      <c r="E99" s="9" t="s">
        <v>124</v>
      </c>
      <c r="F99" s="25" t="s">
        <v>163</v>
      </c>
      <c r="G99" s="25" t="s">
        <v>302</v>
      </c>
      <c r="H99" s="19">
        <v>40000</v>
      </c>
      <c r="I99" s="16" t="s">
        <v>303</v>
      </c>
    </row>
    <row r="100" spans="1:9" ht="76.5">
      <c r="A100" s="5">
        <v>43221</v>
      </c>
      <c r="B100" s="6" t="str">
        <f>HYPERLINK("https://www.rockefellerfoundation.org/","Rockefeller Foundation")</f>
        <v>Rockefeller Foundation</v>
      </c>
      <c r="C100" s="15" t="s">
        <v>14</v>
      </c>
      <c r="D100" s="8" t="s">
        <v>502</v>
      </c>
      <c r="E100" s="9" t="s">
        <v>10</v>
      </c>
      <c r="F100" s="10" t="s">
        <v>367</v>
      </c>
      <c r="G100" s="10"/>
      <c r="H100" s="14"/>
      <c r="I100" s="16" t="s">
        <v>503</v>
      </c>
    </row>
    <row r="101" spans="1:9" ht="140.25">
      <c r="A101" s="5">
        <v>43221</v>
      </c>
      <c r="B101" s="6" t="str">
        <f>HYPERLINK("http://www.wennergren.org/","Wenner Gren Foundation")</f>
        <v>Wenner Gren Foundation</v>
      </c>
      <c r="C101" s="7" t="s">
        <v>14</v>
      </c>
      <c r="D101" s="8" t="s">
        <v>662</v>
      </c>
      <c r="E101" s="22" t="s">
        <v>639</v>
      </c>
      <c r="F101" s="25" t="s">
        <v>663</v>
      </c>
      <c r="G101" s="25"/>
      <c r="H101" s="10" t="s">
        <v>50</v>
      </c>
      <c r="I101" s="16" t="s">
        <v>664</v>
      </c>
    </row>
    <row r="102" spans="1:9" ht="140.25">
      <c r="A102" s="5">
        <v>43229</v>
      </c>
      <c r="B102" s="6" t="str">
        <f>HYPERLINK("https://www.kauffman.org/w","Kauffman Foundation")</f>
        <v>Kauffman Foundation</v>
      </c>
      <c r="C102" s="7" t="s">
        <v>14</v>
      </c>
      <c r="D102" s="23" t="str">
        <f>HYPERLINK("https://www.kauffman.org/currents/2018/04/kauffman-knowledge-challenge-casts-wide-net-in-call-for-projects","Knowledge Challenge")</f>
        <v>Knowledge Challenge</v>
      </c>
      <c r="E102" s="9" t="s">
        <v>10</v>
      </c>
      <c r="F102" s="10" t="s">
        <v>163</v>
      </c>
      <c r="G102" s="14" t="s">
        <v>50</v>
      </c>
      <c r="H102" s="14"/>
      <c r="I102" s="16" t="s">
        <v>253</v>
      </c>
    </row>
    <row r="103" spans="1:9" ht="140.25">
      <c r="A103" s="5">
        <v>43231</v>
      </c>
      <c r="B103" s="6" t="str">
        <f>HYPERLINK("https://nij.gov/Pages/welcome.aspx","National Institute of Justice")</f>
        <v>National Institute of Justice</v>
      </c>
      <c r="C103" s="7" t="s">
        <v>65</v>
      </c>
      <c r="D103" s="6" t="str">
        <f>HYPERLINK("https://nij.gov/funding/fellowships/Pages/welcome.aspx","W.E.B Du Bois Program")</f>
        <v>W.E.B Du Bois Program</v>
      </c>
      <c r="E103" s="9" t="s">
        <v>275</v>
      </c>
      <c r="F103" s="22" t="s">
        <v>163</v>
      </c>
      <c r="G103" s="22"/>
      <c r="H103" s="10"/>
      <c r="I103" s="16" t="s">
        <v>276</v>
      </c>
    </row>
    <row r="104" spans="1:9" ht="140.25">
      <c r="A104" s="17">
        <v>43231</v>
      </c>
      <c r="B104" s="6" t="str">
        <f>HYPERLINK("https://nij.gov/Pages/welcome.aspx","National Institute of Justice")</f>
        <v>National Institute of Justice</v>
      </c>
      <c r="C104" s="7" t="s">
        <v>65</v>
      </c>
      <c r="D104" s="6" t="str">
        <f>HYPERLINK("https://nij.gov/funding/fellowships/visiting-fellowships/pages/welcome.aspx","Visiting Fellows Program")</f>
        <v>Visiting Fellows Program</v>
      </c>
      <c r="E104" s="9" t="s">
        <v>622</v>
      </c>
      <c r="F104" s="10" t="s">
        <v>350</v>
      </c>
      <c r="G104" s="14"/>
      <c r="H104" s="10"/>
      <c r="I104" s="16" t="s">
        <v>641</v>
      </c>
    </row>
    <row r="105" spans="1:9" ht="38.25">
      <c r="A105" s="5">
        <v>43231</v>
      </c>
      <c r="B105" s="6" t="str">
        <f>HYPERLINK("www.asist.org","Asist")</f>
        <v>Asist</v>
      </c>
      <c r="C105" s="7" t="s">
        <v>14</v>
      </c>
      <c r="D105" s="8" t="s">
        <v>1345</v>
      </c>
      <c r="E105" s="9" t="s">
        <v>1005</v>
      </c>
      <c r="F105" s="10"/>
      <c r="G105" s="10"/>
      <c r="H105" s="44"/>
      <c r="I105" s="16" t="s">
        <v>1346</v>
      </c>
    </row>
    <row r="106" spans="1:9" ht="76.5">
      <c r="A106" s="71">
        <v>43234</v>
      </c>
      <c r="B106" s="6" t="str">
        <f>HYPERLINK("https://www.gilderlehrman.org/","Gilder Lehrman Institute of American History")</f>
        <v>Gilder Lehrman Institute of American History</v>
      </c>
      <c r="C106" s="24" t="s">
        <v>14</v>
      </c>
      <c r="D106" s="6" t="str">
        <f>HYPERLINK("https://www.gilderlehrman.org/content/scholarly-fellowships","Gilder Lehrman fellowships")</f>
        <v>Gilder Lehrman fellowships</v>
      </c>
      <c r="E106" s="22" t="s">
        <v>15</v>
      </c>
      <c r="F106" s="44" t="s">
        <v>344</v>
      </c>
      <c r="G106" s="44"/>
      <c r="H106" s="19">
        <v>3000</v>
      </c>
      <c r="I106" s="47" t="s">
        <v>345</v>
      </c>
    </row>
    <row r="107" spans="1:9" ht="114.75">
      <c r="A107" s="5">
        <v>43234</v>
      </c>
      <c r="B107" s="6" t="str">
        <f>HYPERLINK("https://www.nypl.org/","New York Public Library")</f>
        <v>New York Public Library</v>
      </c>
      <c r="C107" s="7" t="s">
        <v>183</v>
      </c>
      <c r="D107" s="6" t="str">
        <f>HYPERLINK("https://www.nypl.org/dance-fellowship","Dance Research Fellowships")</f>
        <v>Dance Research Fellowships</v>
      </c>
      <c r="E107" s="9" t="s">
        <v>462</v>
      </c>
      <c r="F107" s="22" t="s">
        <v>350</v>
      </c>
      <c r="G107" s="10"/>
      <c r="H107" s="19">
        <v>7500</v>
      </c>
      <c r="I107" s="16" t="s">
        <v>463</v>
      </c>
    </row>
    <row r="108" spans="1:9" ht="255">
      <c r="A108" s="5">
        <v>43234</v>
      </c>
      <c r="B108" s="6" t="str">
        <f>HYPERLINK("nsf.gov","National Science Foundation")</f>
        <v>National Science Foundation</v>
      </c>
      <c r="C108" s="15" t="s">
        <v>65</v>
      </c>
      <c r="D108" s="75" t="str">
        <f>HYPERLINK("https://www.nsf.gov/funding/pgm_summ.jsp?pims_id=504767&amp;WT.mc_id=USNSF_39&amp;WT.mc_ev=click","Critical Techniques, Technologies and Methodologies for Advancing Foundations and Applications of Big Data Sciences and Engineering (BIGDATA)")</f>
        <v>Critical Techniques, Technologies and Methodologies for Advancing Foundations and Applications of Big Data Sciences and Engineering (BIGDATA)</v>
      </c>
      <c r="E108" s="9" t="s">
        <v>60</v>
      </c>
      <c r="F108" s="10" t="s">
        <v>980</v>
      </c>
      <c r="G108" s="10"/>
      <c r="H108" s="44"/>
      <c r="I108" s="16" t="s">
        <v>1050</v>
      </c>
    </row>
    <row r="109" spans="1:9" ht="114.75">
      <c r="A109" s="17">
        <v>43235</v>
      </c>
      <c r="B109" s="6" t="str">
        <f>HYPERLINK("https://www.historians.org/","American Historical Association")</f>
        <v>American Historical Association</v>
      </c>
      <c r="C109" s="22" t="s">
        <v>14</v>
      </c>
      <c r="D109" s="8" t="s">
        <v>18</v>
      </c>
      <c r="E109" s="9" t="s">
        <v>15</v>
      </c>
      <c r="F109" s="10" t="s">
        <v>19</v>
      </c>
      <c r="G109" s="14"/>
      <c r="H109" s="10"/>
      <c r="I109" s="16" t="s">
        <v>20</v>
      </c>
    </row>
    <row r="110" spans="1:9" ht="114.75">
      <c r="A110" s="5">
        <v>43235</v>
      </c>
      <c r="B110" s="6" t="str">
        <f>HYPERLINK("https://theccwh.org/","Coordination Council for Women in History")</f>
        <v>Coordination Council for Women in History</v>
      </c>
      <c r="C110" s="24" t="s">
        <v>14</v>
      </c>
      <c r="D110" s="8" t="s">
        <v>21</v>
      </c>
      <c r="E110" s="9" t="s">
        <v>15</v>
      </c>
      <c r="F110" s="44" t="s">
        <v>22</v>
      </c>
      <c r="G110" s="10"/>
      <c r="H110" s="19">
        <v>1000</v>
      </c>
      <c r="I110" s="47" t="s">
        <v>23</v>
      </c>
    </row>
    <row r="111" spans="1:9" ht="76.5">
      <c r="A111" s="17">
        <v>43235</v>
      </c>
      <c r="B111" s="6" t="str">
        <f>HYPERLINK("https://theccwh.org/","Coordination Council for Women in History")</f>
        <v>Coordination Council for Women in History</v>
      </c>
      <c r="C111" s="15" t="s">
        <v>14</v>
      </c>
      <c r="D111" s="8" t="s">
        <v>24</v>
      </c>
      <c r="E111" s="9" t="s">
        <v>15</v>
      </c>
      <c r="F111" s="44" t="s">
        <v>19</v>
      </c>
      <c r="G111" s="44" t="s">
        <v>25</v>
      </c>
      <c r="H111" s="19">
        <v>20000</v>
      </c>
      <c r="I111" s="16" t="s">
        <v>26</v>
      </c>
    </row>
    <row r="112" spans="1:9" ht="153">
      <c r="A112" s="5">
        <v>43235</v>
      </c>
      <c r="B112" s="6" t="str">
        <f>HYPERLINK("https://www.wilsoncenter.org/","Wilson Center")</f>
        <v>Wilson Center</v>
      </c>
      <c r="C112" s="24" t="s">
        <v>14</v>
      </c>
      <c r="D112" s="6" t="str">
        <f>HYPERLINK("https://www.wilsoncenter.org/opportunity/billington-fellowship","Billington Fellowship")</f>
        <v>Billington Fellowship</v>
      </c>
      <c r="E112" s="9" t="s">
        <v>614</v>
      </c>
      <c r="F112" s="44" t="s">
        <v>350</v>
      </c>
      <c r="G112" s="44" t="s">
        <v>50</v>
      </c>
      <c r="H112" s="44" t="s">
        <v>617</v>
      </c>
      <c r="I112" s="16" t="s">
        <v>618</v>
      </c>
    </row>
    <row r="113" spans="1:9" ht="76.5">
      <c r="A113" s="17">
        <v>43235</v>
      </c>
      <c r="B113" s="6" t="str">
        <f>HYPERLINK("http://harriman.columbia.edu/","Harriman Institute, Columbia University")</f>
        <v>Harriman Institute, Columbia University</v>
      </c>
      <c r="C113" s="7" t="s">
        <v>8</v>
      </c>
      <c r="D113" s="8" t="str">
        <f>HYPERLINK("http://harriman.columbia.edu/content/faculty-research-support","Faculty Research Support")</f>
        <v>Faculty Research Support</v>
      </c>
      <c r="E113" s="44" t="s">
        <v>952</v>
      </c>
      <c r="F113" s="44" t="s">
        <v>947</v>
      </c>
      <c r="G113" s="21"/>
      <c r="H113" s="21"/>
      <c r="I113" s="29" t="s">
        <v>953</v>
      </c>
    </row>
    <row r="114" spans="1:9" ht="102">
      <c r="A114" s="71">
        <v>43237</v>
      </c>
      <c r="B114" s="6" t="str">
        <f>HYPERLINK("http://www.dreyfus.org/","Dreyfus Foundation")</f>
        <v>Dreyfus Foundation</v>
      </c>
      <c r="C114" s="15" t="s">
        <v>14</v>
      </c>
      <c r="D114" s="6" t="str">
        <f>HYPERLINK("http://www.dreyfus.org/awards/henry_dryfus_teacher_award.shtml","The Henry Dreyfus Teacher-Scholar Awards Program")</f>
        <v>The Henry Dreyfus Teacher-Scholar Awards Program</v>
      </c>
      <c r="E114" s="9" t="s">
        <v>80</v>
      </c>
      <c r="F114" s="22" t="s">
        <v>22</v>
      </c>
      <c r="G114" s="22" t="s">
        <v>67</v>
      </c>
      <c r="H114" s="19">
        <v>60000</v>
      </c>
      <c r="I114" s="47" t="s">
        <v>81</v>
      </c>
    </row>
    <row r="115" spans="1:9" ht="51">
      <c r="A115" s="71">
        <v>43241</v>
      </c>
      <c r="B115" s="6" t="str">
        <f>HYPERLINK("https://artisttrust.org/index.php","Artist Trust")</f>
        <v>Artist Trust</v>
      </c>
      <c r="C115" s="24" t="s">
        <v>14</v>
      </c>
      <c r="D115" s="8" t="s">
        <v>857</v>
      </c>
      <c r="E115" s="22" t="s">
        <v>49</v>
      </c>
      <c r="F115" s="22" t="s">
        <v>833</v>
      </c>
      <c r="G115" s="22"/>
      <c r="H115" s="44"/>
      <c r="I115" s="47" t="s">
        <v>858</v>
      </c>
    </row>
    <row r="116" spans="1:9" ht="63.75">
      <c r="A116" s="71">
        <v>43241</v>
      </c>
      <c r="B116" s="6" t="str">
        <f>HYPERLINK("https://www.artswriters.org/","Arts Writers")</f>
        <v>Arts Writers</v>
      </c>
      <c r="C116" s="24" t="s">
        <v>14</v>
      </c>
      <c r="D116" s="6" t="str">
        <f>HYPERLINK("http://www.artswriters.org/","Grants Program")</f>
        <v>Grants Program</v>
      </c>
      <c r="E116" s="22" t="s">
        <v>49</v>
      </c>
      <c r="F116" s="44" t="s">
        <v>833</v>
      </c>
      <c r="G116" s="10"/>
      <c r="H116" s="44" t="s">
        <v>859</v>
      </c>
      <c r="I116" s="47" t="s">
        <v>860</v>
      </c>
    </row>
    <row r="117" spans="1:9" ht="204">
      <c r="A117" s="5">
        <v>43244</v>
      </c>
      <c r="B117" s="6" t="str">
        <f>HYPERLINK("http://www.russellsage.org/","Russell Sage Foundation")</f>
        <v>Russell Sage Foundation</v>
      </c>
      <c r="C117" s="7" t="s">
        <v>14</v>
      </c>
      <c r="D117" s="8" t="s">
        <v>1222</v>
      </c>
      <c r="E117" s="9" t="s">
        <v>1223</v>
      </c>
      <c r="F117" s="10" t="s">
        <v>947</v>
      </c>
      <c r="G117" s="14"/>
      <c r="H117" s="10" t="s">
        <v>1195</v>
      </c>
      <c r="I117" s="16" t="s">
        <v>1224</v>
      </c>
    </row>
    <row r="118" spans="1:9" ht="25.5">
      <c r="A118" s="71">
        <v>43245</v>
      </c>
      <c r="B118" s="8" t="str">
        <f>HYPERLINK("https://www.nih.gov/","National Institutes of Health ")</f>
        <v xml:space="preserve">National Institutes of Health </v>
      </c>
      <c r="C118" s="7" t="s">
        <v>65</v>
      </c>
      <c r="D118" s="8" t="s">
        <v>1038</v>
      </c>
      <c r="E118" s="9" t="s">
        <v>60</v>
      </c>
      <c r="F118" s="9" t="s">
        <v>947</v>
      </c>
      <c r="G118" s="22"/>
      <c r="H118" s="14"/>
      <c r="I118" s="16" t="s">
        <v>1039</v>
      </c>
    </row>
    <row r="119" spans="1:9" ht="102">
      <c r="A119" s="5">
        <v>43250</v>
      </c>
      <c r="B119" s="6" t="str">
        <f>HYPERLINK("https://www.okeeffemuseum.org/","Georgia O'Keeffe Museum")</f>
        <v>Georgia O'Keeffe Museum</v>
      </c>
      <c r="C119" s="7" t="s">
        <v>183</v>
      </c>
      <c r="D119" s="8" t="s">
        <v>329</v>
      </c>
      <c r="E119" s="9" t="s">
        <v>177</v>
      </c>
      <c r="F119" s="10" t="s">
        <v>684</v>
      </c>
      <c r="G119" s="14"/>
      <c r="H119" s="14"/>
      <c r="I119" s="16" t="s">
        <v>685</v>
      </c>
    </row>
    <row r="120" spans="1:9" ht="127.5">
      <c r="A120" s="17">
        <v>43251</v>
      </c>
      <c r="B120" s="6" t="str">
        <f>HYPERLINK("http://www.vilcek.org/","Vilcek Foundation")</f>
        <v>Vilcek Foundation</v>
      </c>
      <c r="C120" s="15" t="s">
        <v>14</v>
      </c>
      <c r="D120" s="8" t="s">
        <v>48</v>
      </c>
      <c r="E120" s="9" t="s">
        <v>97</v>
      </c>
      <c r="F120" s="10" t="s">
        <v>19</v>
      </c>
      <c r="G120" s="10" t="s">
        <v>50</v>
      </c>
      <c r="H120" s="14"/>
      <c r="I120" s="16" t="s">
        <v>98</v>
      </c>
    </row>
    <row r="121" spans="1:9" ht="51">
      <c r="A121" s="5">
        <v>43251</v>
      </c>
      <c r="B121" s="6" t="str">
        <f>HYPERLINK("http://www.vilcek.org/","Vilcek Foundation")</f>
        <v>Vilcek Foundation</v>
      </c>
      <c r="C121" s="15" t="s">
        <v>14</v>
      </c>
      <c r="D121" s="8" t="s">
        <v>99</v>
      </c>
      <c r="E121" s="9" t="s">
        <v>95</v>
      </c>
      <c r="F121" s="10" t="s">
        <v>19</v>
      </c>
      <c r="G121" s="10" t="s">
        <v>50</v>
      </c>
      <c r="H121" s="19">
        <v>50000</v>
      </c>
      <c r="I121" s="16" t="s">
        <v>100</v>
      </c>
    </row>
    <row r="122" spans="1:9" ht="63.75">
      <c r="A122" s="5">
        <v>43251</v>
      </c>
      <c r="B122" s="8" t="s">
        <v>122</v>
      </c>
      <c r="C122" s="15" t="s">
        <v>8</v>
      </c>
      <c r="D122" s="8" t="s">
        <v>123</v>
      </c>
      <c r="E122" s="9" t="s">
        <v>124</v>
      </c>
      <c r="F122" s="10" t="s">
        <v>19</v>
      </c>
      <c r="G122" s="14"/>
      <c r="H122" s="44"/>
      <c r="I122" s="47" t="s">
        <v>125</v>
      </c>
    </row>
    <row r="123" spans="1:9" ht="153">
      <c r="A123" s="17">
        <v>43251</v>
      </c>
      <c r="B123" s="6" t="str">
        <f>HYPERLINK("http://www.anu.edu.au/","Australian National University Research School of Humanities and the Arts")</f>
        <v>Australian National University Research School of Humanities and the Arts</v>
      </c>
      <c r="C123" s="7" t="s">
        <v>8</v>
      </c>
      <c r="D123" s="8" t="s">
        <v>414</v>
      </c>
      <c r="E123" s="22" t="s">
        <v>159</v>
      </c>
      <c r="F123" s="22" t="s">
        <v>350</v>
      </c>
      <c r="G123" s="44"/>
      <c r="H123" s="14" t="s">
        <v>415</v>
      </c>
      <c r="I123" s="16" t="s">
        <v>416</v>
      </c>
    </row>
    <row r="124" spans="1:9" ht="165.75">
      <c r="A124" s="17">
        <v>43251</v>
      </c>
      <c r="B124" s="6" t="str">
        <f>HYPERLINK("https://library.niu.edu/ulib/","Northern Illinois University Library")</f>
        <v>Northern Illinois University Library</v>
      </c>
      <c r="C124" s="24" t="s">
        <v>8</v>
      </c>
      <c r="D124" s="8" t="s">
        <v>417</v>
      </c>
      <c r="E124" s="22" t="s">
        <v>159</v>
      </c>
      <c r="F124" s="22" t="s">
        <v>350</v>
      </c>
      <c r="G124" s="44"/>
      <c r="H124" s="19">
        <v>2000</v>
      </c>
      <c r="I124" s="16" t="s">
        <v>418</v>
      </c>
    </row>
    <row r="125" spans="1:9" ht="127.5">
      <c r="A125" s="5">
        <v>43251</v>
      </c>
      <c r="B125" s="6" t="str">
        <f>HYPERLINK("https://www.nypl.org","New York Public Library")</f>
        <v>New York Public Library</v>
      </c>
      <c r="C125" s="15" t="s">
        <v>183</v>
      </c>
      <c r="D125" s="6" t="str">
        <f>HYPERLINK("https://www.nypl.org/help/about-nypl/fellowships-institutes/martin-duberman-visiting-fellowship","Martin Duberman Visiting Fellowship")</f>
        <v>Martin Duberman Visiting Fellowship</v>
      </c>
      <c r="E125" s="22" t="s">
        <v>10</v>
      </c>
      <c r="F125" s="22" t="s">
        <v>350</v>
      </c>
      <c r="G125" s="14"/>
      <c r="H125" s="19">
        <v>20000</v>
      </c>
      <c r="I125" s="16" t="s">
        <v>504</v>
      </c>
    </row>
    <row r="126" spans="1:9" ht="153">
      <c r="A126" s="5">
        <v>43251</v>
      </c>
      <c r="B126" s="30" t="str">
        <f>HYPERLINK("https://eastwestdialogue.org/","East West: The Art of dialogue ")</f>
        <v xml:space="preserve">East West: The Art of dialogue </v>
      </c>
      <c r="C126" s="15" t="s">
        <v>14</v>
      </c>
      <c r="D126" s="8" t="s">
        <v>689</v>
      </c>
      <c r="E126" s="9" t="s">
        <v>159</v>
      </c>
      <c r="F126" s="22" t="s">
        <v>687</v>
      </c>
      <c r="G126" s="14" t="s">
        <v>690</v>
      </c>
      <c r="H126" s="10"/>
      <c r="I126" s="16" t="s">
        <v>691</v>
      </c>
    </row>
    <row r="127" spans="1:9" ht="191.25">
      <c r="A127" s="17">
        <v>43251</v>
      </c>
      <c r="B127" s="6" t="str">
        <f>HYPERLINK("nih.gov","National Institutes of Health")</f>
        <v>National Institutes of Health</v>
      </c>
      <c r="C127" s="7" t="s">
        <v>65</v>
      </c>
      <c r="D127" s="23" t="str">
        <f>HYPERLINK("https://grants.nih.gov/grants/guide/pa-files/par-16-108.html","Team-Based Design in Biomedical Engineering Education (R25)")</f>
        <v>Team-Based Design in Biomedical Engineering Education (R25)</v>
      </c>
      <c r="E127" s="22" t="s">
        <v>763</v>
      </c>
      <c r="F127" s="10" t="s">
        <v>759</v>
      </c>
      <c r="G127" s="14"/>
      <c r="H127" s="10"/>
      <c r="I127" s="16" t="s">
        <v>764</v>
      </c>
    </row>
    <row r="128" spans="1:9" ht="114.75">
      <c r="A128" s="5">
        <v>43251</v>
      </c>
      <c r="B128" s="6" t="str">
        <f>HYPERLINK("neh.gov","National endowment for the Humanities")</f>
        <v>National endowment for the Humanities</v>
      </c>
      <c r="C128" s="7" t="s">
        <v>65</v>
      </c>
      <c r="D128" s="8" t="s">
        <v>845</v>
      </c>
      <c r="E128" s="9" t="s">
        <v>40</v>
      </c>
      <c r="F128" s="10" t="s">
        <v>833</v>
      </c>
      <c r="G128" s="14"/>
      <c r="H128" s="44"/>
      <c r="I128" s="16" t="s">
        <v>846</v>
      </c>
    </row>
    <row r="129" spans="1:9" ht="127.5">
      <c r="A129" s="5">
        <v>43252</v>
      </c>
      <c r="B129" s="6" t="str">
        <f>HYPERLINK("http://clah.h-net.org/","CLAH")</f>
        <v>CLAH</v>
      </c>
      <c r="C129" s="7" t="s">
        <v>14</v>
      </c>
      <c r="D129" s="8" t="s">
        <v>55</v>
      </c>
      <c r="E129" s="9" t="s">
        <v>56</v>
      </c>
      <c r="F129" s="10" t="s">
        <v>22</v>
      </c>
      <c r="G129" s="10"/>
      <c r="H129" s="19">
        <v>5000</v>
      </c>
      <c r="I129" s="16" t="s">
        <v>57</v>
      </c>
    </row>
    <row r="130" spans="1:9" ht="89.25">
      <c r="A130" s="5">
        <v>43252</v>
      </c>
      <c r="B130" s="6" t="str">
        <f>HYPERLINK("https://clags.org/","CLAGS")</f>
        <v>CLAGS</v>
      </c>
      <c r="C130" s="7" t="s">
        <v>14</v>
      </c>
      <c r="D130" s="6" t="str">
        <f>HYPERLINK("https://clags.org/fellowships-and-awards3/#clagsfellowship","CLAGS Fellowship Award")</f>
        <v>CLAGS Fellowship Award</v>
      </c>
      <c r="E130" s="22" t="s">
        <v>246</v>
      </c>
      <c r="F130" s="44" t="s">
        <v>163</v>
      </c>
      <c r="G130" s="10"/>
      <c r="H130" s="19">
        <v>2000</v>
      </c>
      <c r="I130" s="47" t="s">
        <v>247</v>
      </c>
    </row>
    <row r="131" spans="1:9" ht="229.5">
      <c r="A131" s="71">
        <v>43252</v>
      </c>
      <c r="B131" s="6" t="str">
        <f>HYPERLINK("https://www.austenriggs.org/erikson-scholar-program","Austen Riggs Center")</f>
        <v>Austen Riggs Center</v>
      </c>
      <c r="C131" s="15" t="s">
        <v>14</v>
      </c>
      <c r="D131" s="8" t="s">
        <v>608</v>
      </c>
      <c r="E131" s="9" t="s">
        <v>105</v>
      </c>
      <c r="F131" s="10" t="s">
        <v>350</v>
      </c>
      <c r="G131" s="14"/>
      <c r="H131" s="10" t="s">
        <v>609</v>
      </c>
      <c r="I131" s="16" t="s">
        <v>610</v>
      </c>
    </row>
    <row r="132" spans="1:9" ht="178.5">
      <c r="A132" s="71">
        <v>43252</v>
      </c>
      <c r="B132" s="6" t="str">
        <f>HYPERLINK("https://www.austenriggs.org/","Austin Riggs Center")</f>
        <v>Austin Riggs Center</v>
      </c>
      <c r="C132" s="15" t="s">
        <v>14</v>
      </c>
      <c r="D132" s="8" t="s">
        <v>608</v>
      </c>
      <c r="E132" s="9" t="s">
        <v>1176</v>
      </c>
      <c r="F132" s="10" t="s">
        <v>947</v>
      </c>
      <c r="G132" s="10"/>
      <c r="H132" s="10"/>
      <c r="I132" s="47" t="s">
        <v>1177</v>
      </c>
    </row>
    <row r="133" spans="1:9" ht="89.25">
      <c r="A133" s="71">
        <v>43252</v>
      </c>
      <c r="B133" s="6" t="str">
        <f>HYPERLINK("https://twin-cities.umn.edu/","University of Minnesota")</f>
        <v>University of Minnesota</v>
      </c>
      <c r="C133" s="15" t="s">
        <v>8</v>
      </c>
      <c r="D133" s="8" t="s">
        <v>1347</v>
      </c>
      <c r="E133" s="9" t="s">
        <v>1005</v>
      </c>
      <c r="F133" s="10"/>
      <c r="G133" s="10"/>
      <c r="H133" s="55">
        <v>1000</v>
      </c>
      <c r="I133" s="16" t="s">
        <v>1348</v>
      </c>
    </row>
    <row r="134" spans="1:9" ht="102">
      <c r="A134" s="71">
        <v>43253</v>
      </c>
      <c r="B134" s="6" t="str">
        <f>HYPERLINK("https://www.culinaryhistoriansny.org/","Culinary History of NY")</f>
        <v>Culinary History of NY</v>
      </c>
      <c r="C134" s="15" t="s">
        <v>14</v>
      </c>
      <c r="D134" s="8" t="s">
        <v>949</v>
      </c>
      <c r="E134" s="9" t="s">
        <v>15</v>
      </c>
      <c r="F134" s="10" t="s">
        <v>947</v>
      </c>
      <c r="G134" s="10"/>
      <c r="H134" s="44" t="s">
        <v>950</v>
      </c>
      <c r="I134" s="16" t="s">
        <v>951</v>
      </c>
    </row>
    <row r="135" spans="1:9" ht="191.25">
      <c r="A135" s="5">
        <v>43256</v>
      </c>
      <c r="B135" s="6" t="str">
        <f>HYPERLINK("https://www.neh.gov/","National Endowment for the Humanitites")</f>
        <v>National Endowment for the Humanitites</v>
      </c>
      <c r="C135" s="24" t="s">
        <v>65</v>
      </c>
      <c r="D135" s="6" t="str">
        <f>HYPERLINK("https://www.neh.gov/grants/odh/digital-humanities-advancement-grants","Digital Humanities Advancement Grant")</f>
        <v>Digital Humanities Advancement Grant</v>
      </c>
      <c r="E135" s="9" t="s">
        <v>40</v>
      </c>
      <c r="F135" s="22" t="s">
        <v>835</v>
      </c>
      <c r="G135" s="21"/>
      <c r="H135" s="10"/>
      <c r="I135" s="16" t="s">
        <v>847</v>
      </c>
    </row>
    <row r="136" spans="1:9" ht="114.75">
      <c r="A136" s="5">
        <v>43257</v>
      </c>
      <c r="B136" s="6" t="str">
        <f>HYPERLINK("https://www.neh.gov/","National Endowment for the Humanitites")</f>
        <v>National Endowment for the Humanitites</v>
      </c>
      <c r="C136" s="49" t="s">
        <v>65</v>
      </c>
      <c r="D136" s="30" t="str">
        <f>HYPERLINK("https://www.neh.gov/grants/preservation/research-and-development","Research and Development")</f>
        <v>Research and Development</v>
      </c>
      <c r="E136" s="9" t="s">
        <v>58</v>
      </c>
      <c r="F136" s="10" t="s">
        <v>947</v>
      </c>
      <c r="G136" s="44"/>
      <c r="H136" s="44"/>
      <c r="I136" s="16" t="s">
        <v>1019</v>
      </c>
    </row>
    <row r="137" spans="1:9" ht="51">
      <c r="A137" s="17">
        <v>43258</v>
      </c>
      <c r="B137" s="6" t="str">
        <f>HYPERLINK("https://www.stonewallfoundation.org/","Stonewall Community Foundation")</f>
        <v>Stonewall Community Foundation</v>
      </c>
      <c r="C137" s="7" t="s">
        <v>14</v>
      </c>
      <c r="D137" s="8" t="s">
        <v>151</v>
      </c>
      <c r="E137" s="22" t="s">
        <v>10</v>
      </c>
      <c r="F137" s="10"/>
      <c r="G137" s="44"/>
      <c r="H137" s="10"/>
      <c r="I137" s="16" t="s">
        <v>1338</v>
      </c>
    </row>
    <row r="138" spans="1:9" ht="51">
      <c r="A138" s="5">
        <v>43260</v>
      </c>
      <c r="B138" s="6" t="str">
        <f>HYPERLINK("https://www.sfn.org","Society for Neuroscience")</f>
        <v>Society for Neuroscience</v>
      </c>
      <c r="C138" s="7" t="s">
        <v>14</v>
      </c>
      <c r="D138" s="8" t="s">
        <v>107</v>
      </c>
      <c r="E138" s="9" t="s">
        <v>105</v>
      </c>
      <c r="F138" s="10" t="s">
        <v>19</v>
      </c>
      <c r="G138" s="14"/>
      <c r="H138" s="14"/>
      <c r="I138" s="16" t="s">
        <v>108</v>
      </c>
    </row>
    <row r="139" spans="1:9" ht="102">
      <c r="A139" s="5">
        <v>43262</v>
      </c>
      <c r="B139" s="6" t="str">
        <f>HYPERLINK("http://www.vilcek.org","Vilcek Foundation")</f>
        <v>Vilcek Foundation</v>
      </c>
      <c r="C139" s="15" t="s">
        <v>14</v>
      </c>
      <c r="D139" s="8" t="s">
        <v>48</v>
      </c>
      <c r="E139" s="9" t="s">
        <v>49</v>
      </c>
      <c r="F139" s="10" t="s">
        <v>19</v>
      </c>
      <c r="G139" s="10" t="s">
        <v>50</v>
      </c>
      <c r="H139" s="44"/>
      <c r="I139" s="16" t="s">
        <v>51</v>
      </c>
    </row>
    <row r="140" spans="1:9" ht="127.5">
      <c r="A140" s="5">
        <v>43262</v>
      </c>
      <c r="B140" s="6" t="str">
        <f>HYPERLINK("http://NSf.gov","National Science Foundation")</f>
        <v>National Science Foundation</v>
      </c>
      <c r="C140" s="15" t="s">
        <v>65</v>
      </c>
      <c r="D140" s="8" t="s">
        <v>1178</v>
      </c>
      <c r="E140" s="9" t="s">
        <v>105</v>
      </c>
      <c r="F140" s="22" t="s">
        <v>947</v>
      </c>
      <c r="G140" s="22"/>
      <c r="H140" s="14"/>
      <c r="I140" s="16" t="s">
        <v>1179</v>
      </c>
    </row>
    <row r="141" spans="1:9" ht="153">
      <c r="A141" s="5">
        <v>43263</v>
      </c>
      <c r="B141" s="6" t="str">
        <f>HYPERLINK("http://humanitiesny.org","Humanities New York")</f>
        <v>Humanities New York</v>
      </c>
      <c r="C141" s="7" t="s">
        <v>217</v>
      </c>
      <c r="D141" s="24" t="s">
        <v>780</v>
      </c>
      <c r="E141" s="9" t="s">
        <v>10</v>
      </c>
      <c r="F141" s="22" t="s">
        <v>777</v>
      </c>
      <c r="G141" s="21"/>
      <c r="H141" s="44"/>
      <c r="I141" s="16" t="s">
        <v>781</v>
      </c>
    </row>
    <row r="142" spans="1:9" ht="102">
      <c r="A142" s="5">
        <v>43265</v>
      </c>
      <c r="B142" s="6" t="str">
        <f>HYPERLINK("https://www.gerda-henkel-stiftung.de/","Gerda Henkel Stiftung")</f>
        <v>Gerda Henkel Stiftung</v>
      </c>
      <c r="C142" s="7" t="s">
        <v>14</v>
      </c>
      <c r="D142" s="8" t="s">
        <v>959</v>
      </c>
      <c r="E142" s="9" t="s">
        <v>40</v>
      </c>
      <c r="F142" s="10" t="s">
        <v>947</v>
      </c>
      <c r="G142" s="14"/>
      <c r="H142" s="44"/>
      <c r="I142" s="16" t="s">
        <v>960</v>
      </c>
    </row>
    <row r="143" spans="1:9" ht="38.25">
      <c r="A143" s="71">
        <v>43266</v>
      </c>
      <c r="B143" s="6" t="str">
        <f>HYPERLINK("https://www.acs.org/","American Chemistry Society")</f>
        <v>American Chemistry Society</v>
      </c>
      <c r="C143" s="15" t="s">
        <v>14</v>
      </c>
      <c r="D143" s="8" t="s">
        <v>82</v>
      </c>
      <c r="E143" s="9" t="s">
        <v>80</v>
      </c>
      <c r="F143" s="10" t="s">
        <v>19</v>
      </c>
      <c r="G143" s="14"/>
      <c r="H143" s="14"/>
      <c r="I143" s="16" t="s">
        <v>83</v>
      </c>
    </row>
    <row r="144" spans="1:9" ht="89.25">
      <c r="A144" s="21">
        <v>43266</v>
      </c>
      <c r="B144" s="6" t="str">
        <f>HYPERLINK("https://www.srf.org/","Smith Richardson Foundation")</f>
        <v>Smith Richardson Foundation</v>
      </c>
      <c r="C144" s="24" t="s">
        <v>14</v>
      </c>
      <c r="D144" s="6" t="str">
        <f>HYPERLINK("https://www.srf.org/programs/international-security-foreign-policy/strategy-policy-fellows-program/","Strategy and Policy Fellows")</f>
        <v>Strategy and Policy Fellows</v>
      </c>
      <c r="E144" s="22" t="s">
        <v>124</v>
      </c>
      <c r="F144" s="44" t="s">
        <v>157</v>
      </c>
      <c r="G144" s="44"/>
      <c r="H144" s="19">
        <v>60000</v>
      </c>
      <c r="I144" s="47" t="s">
        <v>322</v>
      </c>
    </row>
    <row r="145" spans="1:9" ht="127.5">
      <c r="A145" s="5">
        <v>43266</v>
      </c>
      <c r="B145" s="6" t="str">
        <f>HYPERLINK("https://www.simonsfoundation.org/","Simons Foundation")</f>
        <v>Simons Foundation</v>
      </c>
      <c r="C145" s="15" t="s">
        <v>14</v>
      </c>
      <c r="D145" s="23" t="str">
        <f>HYPERLINK("https://www.simonsfoundation.org/grant/simons-postdoctoral-fellowships-in-marine-microbial-ecology/","Fellowships in Marine Microbial Ecology")</f>
        <v>Fellowships in Marine Microbial Ecology</v>
      </c>
      <c r="E145" s="9" t="s">
        <v>76</v>
      </c>
      <c r="F145" s="10" t="s">
        <v>670</v>
      </c>
      <c r="G145" s="10" t="s">
        <v>672</v>
      </c>
      <c r="H145" s="10" t="s">
        <v>673</v>
      </c>
      <c r="I145" s="16" t="s">
        <v>674</v>
      </c>
    </row>
    <row r="146" spans="1:9" ht="140.25">
      <c r="A146" s="5">
        <v>43267</v>
      </c>
      <c r="B146" s="8" t="str">
        <f>HYPERLINK("https://www.nih.gov/","National Institutes of Health ")</f>
        <v xml:space="preserve">National Institutes of Health </v>
      </c>
      <c r="C146" s="24" t="s">
        <v>65</v>
      </c>
      <c r="D146" s="23" t="str">
        <f>HYPERLINK("https://grants.nih.gov/grants/guide/pa-files/PA-17-324.html","Ethical, Legal, and Social Implications of Genomic Research Small Research Grant Program (R03)")</f>
        <v>Ethical, Legal, and Social Implications of Genomic Research Small Research Grant Program (R03)</v>
      </c>
      <c r="E146" s="9" t="s">
        <v>748</v>
      </c>
      <c r="F146" s="10" t="s">
        <v>947</v>
      </c>
      <c r="G146" s="10"/>
      <c r="H146" s="10"/>
      <c r="I146" s="16" t="s">
        <v>1240</v>
      </c>
    </row>
    <row r="147" spans="1:9" ht="204">
      <c r="A147" s="5">
        <v>43273</v>
      </c>
      <c r="B147" s="6" t="str">
        <f>HYPERLINK("https://alliance.columbia.edu/","Columbia Alliance")</f>
        <v>Columbia Alliance</v>
      </c>
      <c r="C147" s="15" t="s">
        <v>8</v>
      </c>
      <c r="D147" s="8" t="str">
        <f>HYPERLINK("https://alliance.columbia.edu/alliance-call-joint-projects","Joint Projects")</f>
        <v>Joint Projects</v>
      </c>
      <c r="E147" s="44" t="s">
        <v>10</v>
      </c>
      <c r="F147" s="10"/>
      <c r="G147" s="21" t="s">
        <v>1339</v>
      </c>
      <c r="H147" s="21" t="s">
        <v>1089</v>
      </c>
      <c r="I147" s="29" t="s">
        <v>1340</v>
      </c>
    </row>
    <row r="148" spans="1:9" ht="178.5">
      <c r="A148" s="5">
        <v>43279</v>
      </c>
      <c r="B148" s="6" t="str">
        <f>HYPERLINK("http://www.russellsage.org/","Russell Sage Foundation")</f>
        <v>Russell Sage Foundation</v>
      </c>
      <c r="C148" s="15" t="s">
        <v>14</v>
      </c>
      <c r="D148" s="8" t="s">
        <v>447</v>
      </c>
      <c r="E148" s="9" t="s">
        <v>323</v>
      </c>
      <c r="F148" s="44" t="s">
        <v>367</v>
      </c>
      <c r="G148" s="14" t="s">
        <v>624</v>
      </c>
      <c r="H148" s="44" t="s">
        <v>528</v>
      </c>
      <c r="I148" s="16" t="s">
        <v>625</v>
      </c>
    </row>
    <row r="149" spans="1:9" ht="89.25">
      <c r="A149" s="5">
        <v>43281</v>
      </c>
      <c r="B149" s="6" t="str">
        <f>HYPERLINK("https://aas.org/","American Astronomical Society")</f>
        <v>American Astronomical Society</v>
      </c>
      <c r="C149" s="24" t="s">
        <v>69</v>
      </c>
      <c r="D149" s="27" t="str">
        <f>HYPERLINK("https://aas.org/grants-and-prizes/annie-jump-cannon-award-astronomy","Annie Jump Cannon Award in Astronomy")</f>
        <v>Annie Jump Cannon Award in Astronomy</v>
      </c>
      <c r="E149" s="9" t="s">
        <v>101</v>
      </c>
      <c r="F149" s="10" t="s">
        <v>19</v>
      </c>
      <c r="G149" s="10"/>
      <c r="H149" s="19">
        <v>1500</v>
      </c>
      <c r="I149" s="16" t="s">
        <v>102</v>
      </c>
    </row>
    <row r="150" spans="1:9" ht="267.75">
      <c r="A150" s="5">
        <v>43282</v>
      </c>
      <c r="B150" s="6" t="str">
        <f>HYPERLINK("https://www.indiastudies.org/","American Institute for Indian Studies")</f>
        <v>American Institute for Indian Studies</v>
      </c>
      <c r="C150" s="7" t="s">
        <v>8</v>
      </c>
      <c r="D150" s="23" t="str">
        <f>HYPERLINK("http://www.indiastudies.org/research-fellowship-programs/categories-of-fellowship/","Research &amp; Senior Scholarly/Professional Development Fellowships")</f>
        <v>Research &amp; Senior Scholarly/Professional Development Fellowships</v>
      </c>
      <c r="E150" s="9" t="s">
        <v>559</v>
      </c>
      <c r="F150" s="10" t="s">
        <v>687</v>
      </c>
      <c r="G150" s="14" t="s">
        <v>694</v>
      </c>
      <c r="H150" s="14" t="s">
        <v>695</v>
      </c>
      <c r="I150" s="16" t="s">
        <v>696</v>
      </c>
    </row>
    <row r="151" spans="1:9" ht="25.5">
      <c r="A151" s="17">
        <v>43282</v>
      </c>
      <c r="B151" s="6" t="str">
        <f>HYPERLINK("http://www.apa.org/apf/","American Psychological Association")</f>
        <v>American Psychological Association</v>
      </c>
      <c r="C151" s="7" t="s">
        <v>14</v>
      </c>
      <c r="D151" s="8" t="s">
        <v>737</v>
      </c>
      <c r="E151" s="9" t="s">
        <v>60</v>
      </c>
      <c r="F151" s="22" t="s">
        <v>716</v>
      </c>
      <c r="G151" s="22" t="s">
        <v>50</v>
      </c>
      <c r="H151" s="10"/>
      <c r="I151" s="16" t="s">
        <v>63</v>
      </c>
    </row>
    <row r="152" spans="1:9" ht="178.5">
      <c r="A152" s="5">
        <v>43282</v>
      </c>
      <c r="B152" s="6" t="str">
        <f>HYPERLINK("https://pen.org/","PEN America")</f>
        <v>PEN America</v>
      </c>
      <c r="C152" s="15" t="s">
        <v>14</v>
      </c>
      <c r="D152" s="6" t="str">
        <f>HYPERLINK("https://pen.org/writing-justice/","Writing for Justice Fellowship")</f>
        <v>Writing for Justice Fellowship</v>
      </c>
      <c r="E152" s="9" t="s">
        <v>10</v>
      </c>
      <c r="F152" s="22" t="s">
        <v>833</v>
      </c>
      <c r="G152" s="22"/>
      <c r="H152" s="19">
        <v>10000</v>
      </c>
      <c r="I152" s="16" t="s">
        <v>878</v>
      </c>
    </row>
    <row r="153" spans="1:9" ht="216.75">
      <c r="A153" s="5">
        <v>43282</v>
      </c>
      <c r="B153" s="6" t="str">
        <f>HYPERLINK("https://www.nationalgeographic.org/","National Geographic Society")</f>
        <v>National Geographic Society</v>
      </c>
      <c r="C153" s="15" t="s">
        <v>14</v>
      </c>
      <c r="D153" s="6" t="str">
        <f>HYPERLINK("https://www.nationalgeographic.org/grants/grant-opportunities/","Expeditions Council Grants")</f>
        <v>Expeditions Council Grants</v>
      </c>
      <c r="E153" s="9" t="s">
        <v>10</v>
      </c>
      <c r="F153" s="10" t="s">
        <v>1250</v>
      </c>
      <c r="G153" s="14"/>
      <c r="H153" s="10" t="s">
        <v>1251</v>
      </c>
      <c r="I153" s="16" t="s">
        <v>1252</v>
      </c>
    </row>
    <row r="154" spans="1:9" ht="25.5">
      <c r="A154" s="17">
        <v>43286</v>
      </c>
      <c r="B154" s="6" t="str">
        <f>HYPERLINK("http://wtgrantfoundation.org","William T Grant Foundation")</f>
        <v>William T Grant Foundation</v>
      </c>
      <c r="C154" s="24" t="s">
        <v>14</v>
      </c>
      <c r="D154" s="8" t="s">
        <v>254</v>
      </c>
      <c r="E154" s="9" t="s">
        <v>10</v>
      </c>
      <c r="F154" s="9" t="s">
        <v>163</v>
      </c>
      <c r="G154" s="22"/>
      <c r="H154" s="44"/>
      <c r="I154" s="16" t="s">
        <v>255</v>
      </c>
    </row>
    <row r="155" spans="1:9" ht="114.75">
      <c r="A155" s="5">
        <v>43286</v>
      </c>
      <c r="B155" s="6" t="str">
        <f>HYPERLINK("https://www.axa-research.org/en/page/general-terms","AXA Research Fund")</f>
        <v>AXA Research Fund</v>
      </c>
      <c r="C155" s="15" t="s">
        <v>14</v>
      </c>
      <c r="D155" s="6" t="str">
        <f>HYPERLINK("https://www.axa-research.org/en/page/general-terms","AXA Research Fund")</f>
        <v>AXA Research Fund</v>
      </c>
      <c r="E155" s="9" t="s">
        <v>60</v>
      </c>
      <c r="F155" s="10" t="s">
        <v>716</v>
      </c>
      <c r="G155" s="14"/>
      <c r="H155" s="10"/>
      <c r="I155" s="16" t="s">
        <v>738</v>
      </c>
    </row>
    <row r="156" spans="1:9" ht="255.75">
      <c r="A156" s="5">
        <v>43286</v>
      </c>
      <c r="B156" s="6" t="str">
        <f>HYPERLINK("http://wtgrantfoundation.org","William T Grant Foundation")</f>
        <v>William T Grant Foundation</v>
      </c>
      <c r="C156" s="24" t="s">
        <v>14</v>
      </c>
      <c r="D156" s="8" t="s">
        <v>968</v>
      </c>
      <c r="E156" s="9" t="s">
        <v>969</v>
      </c>
      <c r="F156" s="10" t="s">
        <v>947</v>
      </c>
      <c r="G156" s="22" t="s">
        <v>50</v>
      </c>
      <c r="H156" s="10" t="s">
        <v>970</v>
      </c>
      <c r="I156" s="72" t="s">
        <v>971</v>
      </c>
    </row>
    <row r="157" spans="1:9" ht="165.75">
      <c r="A157" s="5">
        <v>43291</v>
      </c>
      <c r="B157" s="6" t="str">
        <f>HYPERLINK("https://www.roddenberryprize.org/","Roddenberry Prize")</f>
        <v>Roddenberry Prize</v>
      </c>
      <c r="C157" s="15" t="s">
        <v>14</v>
      </c>
      <c r="D157" s="6" t="str">
        <f>HYPERLINK("https://www.roddenberryprize.org/","Roddenberry Prize")</f>
        <v>Roddenberry Prize</v>
      </c>
      <c r="E157" s="9" t="s">
        <v>10</v>
      </c>
      <c r="F157" s="10" t="s">
        <v>909</v>
      </c>
      <c r="G157" s="12"/>
      <c r="H157" s="19">
        <v>250000</v>
      </c>
      <c r="I157" s="16" t="s">
        <v>910</v>
      </c>
    </row>
    <row r="158" spans="1:9" ht="127.5">
      <c r="A158" s="5">
        <v>43291</v>
      </c>
      <c r="B158" s="6" t="str">
        <f>HYPERLINK("https://www.nesare.org/","Northeast SARE")</f>
        <v>Northeast SARE</v>
      </c>
      <c r="C158" s="85" t="s">
        <v>14</v>
      </c>
      <c r="D158" s="86" t="str">
        <f>HYPERLINK("https://www.nesare.org/Grants/Get-a-Grant/Which-grant-is-right-for-me/For-researchers","Grants for Researchers")</f>
        <v>Grants for Researchers</v>
      </c>
      <c r="E158" s="9" t="s">
        <v>1101</v>
      </c>
      <c r="F158" s="10" t="s">
        <v>947</v>
      </c>
      <c r="G158" s="14"/>
      <c r="H158" s="10"/>
      <c r="I158" s="16" t="s">
        <v>1102</v>
      </c>
    </row>
    <row r="159" spans="1:9" ht="267.75">
      <c r="A159" s="5">
        <v>43292</v>
      </c>
      <c r="B159" s="6" t="str">
        <f>HYPERLINK("nsf.gov","National Science Foundation")</f>
        <v>National Science Foundation</v>
      </c>
      <c r="C159" s="7" t="s">
        <v>65</v>
      </c>
      <c r="D159" s="8" t="s">
        <v>1341</v>
      </c>
      <c r="E159" s="9" t="s">
        <v>10</v>
      </c>
      <c r="F159" s="12"/>
      <c r="G159" s="12"/>
      <c r="H159" s="44"/>
      <c r="I159" s="16" t="s">
        <v>1342</v>
      </c>
    </row>
    <row r="160" spans="1:9" ht="140.25">
      <c r="A160" s="5">
        <v>43293</v>
      </c>
      <c r="B160" s="6" t="str">
        <f>HYPERLINK("https://www.arts.gov/","National Endowment for the Arts")</f>
        <v>National Endowment for the Arts</v>
      </c>
      <c r="C160" s="7" t="s">
        <v>65</v>
      </c>
      <c r="D160" s="6" t="str">
        <f>HYPERLINK("https://www.arts.gov/grants/apply-grant/grants-organizations","Art Works")</f>
        <v>Art Works</v>
      </c>
      <c r="E160" s="9" t="s">
        <v>49</v>
      </c>
      <c r="F160" s="22" t="s">
        <v>833</v>
      </c>
      <c r="G160" s="21"/>
      <c r="H160" s="10"/>
      <c r="I160" s="16" t="s">
        <v>861</v>
      </c>
    </row>
    <row r="161" spans="1:9" ht="153">
      <c r="A161" s="71">
        <v>43293</v>
      </c>
      <c r="B161" s="6" t="str">
        <f>HYPERLINK("https://static1.squarespace.com/static/58d82340d2b857f33fbad36d/t/5b03301daa4a99b7ce0f6d14/1526935581189/SQS+2018+Request+for+Proposals+FINAL.pdf","Stonewall Quarter Share")</f>
        <v>Stonewall Quarter Share</v>
      </c>
      <c r="C161" s="15" t="s">
        <v>14</v>
      </c>
      <c r="D161" s="6" t="str">
        <f>HYPERLINK("https://static1.squarespace.com/static/58d82340d2b857f33fbad36d/t/5b03301daa4a99b7ce0f6d14/1526935581189/SQS+2018+Request+for+Proposals+FINAL.pdf","Stonewall Quarter Share ")</f>
        <v xml:space="preserve">Stonewall Quarter Share </v>
      </c>
      <c r="E161" s="9" t="s">
        <v>10</v>
      </c>
      <c r="F161" s="25" t="s">
        <v>913</v>
      </c>
      <c r="G161" s="25"/>
      <c r="H161" s="14" t="s">
        <v>914</v>
      </c>
      <c r="I161" s="16" t="s">
        <v>915</v>
      </c>
    </row>
    <row r="162" spans="1:9" ht="293.25">
      <c r="A162" s="5">
        <v>43296</v>
      </c>
      <c r="B162" s="6" t="str">
        <f>HYPERLINK("https://www.opensocietyfoundations.org","Open Society Foundations")</f>
        <v>Open Society Foundations</v>
      </c>
      <c r="C162" s="7" t="s">
        <v>14</v>
      </c>
      <c r="D162" s="23" t="str">
        <f>HYPERLINK("https://www.opensocietyfoundations.org/grants/open-society-fellowship","Open Society Fellowship")</f>
        <v>Open Society Fellowship</v>
      </c>
      <c r="E162" s="9" t="s">
        <v>124</v>
      </c>
      <c r="F162" s="10" t="s">
        <v>163</v>
      </c>
      <c r="G162" s="14"/>
      <c r="H162" s="44"/>
      <c r="I162" s="16" t="s">
        <v>304</v>
      </c>
    </row>
    <row r="163" spans="1:9" ht="153">
      <c r="A163" s="5">
        <v>43296</v>
      </c>
      <c r="B163" s="6" t="str">
        <f>HYPERLINK("https://www.loc.gov","LIbrary of Congress")</f>
        <v>LIbrary of Congress</v>
      </c>
      <c r="C163" s="15" t="s">
        <v>65</v>
      </c>
      <c r="D163" s="6" t="str">
        <f>HYPERLINK("https://www.loc.gov/loc/kluge/fellowships/kluge.php","Kluge Center Fellowship")</f>
        <v>Kluge Center Fellowship</v>
      </c>
      <c r="E163" s="9" t="s">
        <v>10</v>
      </c>
      <c r="F163" s="22" t="s">
        <v>350</v>
      </c>
      <c r="G163" s="14" t="s">
        <v>505</v>
      </c>
      <c r="H163" s="19" t="s">
        <v>506</v>
      </c>
      <c r="I163" s="16" t="s">
        <v>507</v>
      </c>
    </row>
    <row r="164" spans="1:9" ht="242.25">
      <c r="A164" s="5">
        <v>43296</v>
      </c>
      <c r="B164" s="6" t="str">
        <f>HYPERLINK("https://www.nsf.gov/","National Science Foundation")</f>
        <v>National Science Foundation</v>
      </c>
      <c r="C164" s="15" t="s">
        <v>65</v>
      </c>
      <c r="D164" s="8" t="s">
        <v>1051</v>
      </c>
      <c r="E164" s="9" t="s">
        <v>60</v>
      </c>
      <c r="F164" s="18" t="s">
        <v>947</v>
      </c>
      <c r="G164" s="25"/>
      <c r="H164" s="14"/>
      <c r="I164" s="16" t="s">
        <v>1052</v>
      </c>
    </row>
    <row r="165" spans="1:9" ht="77.25">
      <c r="A165" s="5">
        <v>43297</v>
      </c>
      <c r="B165" s="6" t="str">
        <f>HYPERLINK("http://www.queensmuseum.org/","Queens Museum/Jerome Foundation")</f>
        <v>Queens Museum/Jerome Foundation</v>
      </c>
      <c r="C165" s="15" t="s">
        <v>8</v>
      </c>
      <c r="D165" s="6" t="str">
        <f>HYPERLINK("https://queensmuseum.submittable.com/submit/114673/jerome-foundation-emerging-artist-fellowship-2018-2019","Emerging Artist Fellowship")</f>
        <v>Emerging Artist Fellowship</v>
      </c>
      <c r="E165" s="9" t="s">
        <v>366</v>
      </c>
      <c r="F165" s="22" t="s">
        <v>833</v>
      </c>
      <c r="G165" s="14" t="s">
        <v>67</v>
      </c>
      <c r="H165" s="19">
        <v>20000</v>
      </c>
      <c r="I165" s="84" t="s">
        <v>834</v>
      </c>
    </row>
    <row r="166" spans="1:9" ht="140.25">
      <c r="A166" s="5">
        <v>43297</v>
      </c>
      <c r="B166" s="6" t="str">
        <f>HYPERLINK("http://NSf.gov","National Science Foundation")</f>
        <v>National Science Foundation</v>
      </c>
      <c r="C166" s="15" t="s">
        <v>65</v>
      </c>
      <c r="D166" s="8" t="s">
        <v>1180</v>
      </c>
      <c r="E166" s="9" t="s">
        <v>105</v>
      </c>
      <c r="F166" s="10" t="s">
        <v>947</v>
      </c>
      <c r="G166" s="10"/>
      <c r="H166" s="44"/>
      <c r="I166" s="16" t="s">
        <v>1181</v>
      </c>
    </row>
    <row r="167" spans="1:9" ht="115.5">
      <c r="A167" s="5">
        <v>43299</v>
      </c>
      <c r="B167" s="6" t="str">
        <f>HYPERLINK("nsf.gov","National Science Foundation")</f>
        <v>National Science Foundation</v>
      </c>
      <c r="C167" s="15" t="s">
        <v>65</v>
      </c>
      <c r="D167" s="8" t="s">
        <v>66</v>
      </c>
      <c r="E167" s="9" t="s">
        <v>60</v>
      </c>
      <c r="F167" s="9" t="s">
        <v>22</v>
      </c>
      <c r="G167" s="44" t="s">
        <v>67</v>
      </c>
      <c r="H167" s="84"/>
      <c r="I167" s="84" t="s">
        <v>68</v>
      </c>
    </row>
    <row r="168" spans="1:9" ht="114.75">
      <c r="A168" s="71">
        <v>43311</v>
      </c>
      <c r="B168" s="6" t="str">
        <f>HYPERLINK("nea.gov","National Endowment for the Arts")</f>
        <v>National Endowment for the Arts</v>
      </c>
      <c r="C168" s="24" t="s">
        <v>65</v>
      </c>
      <c r="D168" s="30" t="str">
        <f>HYPERLINK("https://www.arts.gov/sites/default/files/NEA-Heritage-Fellows-Fact-Sheet-June2017-revised.pdf","National Heritage Fellows")</f>
        <v>National Heritage Fellows</v>
      </c>
      <c r="E168" s="22" t="s">
        <v>49</v>
      </c>
      <c r="F168" s="44" t="s">
        <v>163</v>
      </c>
      <c r="G168" s="44" t="s">
        <v>235</v>
      </c>
      <c r="H168" s="19">
        <v>25000</v>
      </c>
      <c r="I168" s="47" t="s">
        <v>236</v>
      </c>
    </row>
    <row r="169" spans="1:9" ht="51">
      <c r="A169" s="5">
        <v>43313</v>
      </c>
      <c r="B169" s="6" t="str">
        <f>HYPERLINK("https://www.aaas.org/","American Association for the Advancement of Science")</f>
        <v>American Association for the Advancement of Science</v>
      </c>
      <c r="C169" s="15" t="s">
        <v>69</v>
      </c>
      <c r="D169" s="8" t="s">
        <v>70</v>
      </c>
      <c r="E169" s="9" t="s">
        <v>60</v>
      </c>
      <c r="F169" s="10" t="s">
        <v>19</v>
      </c>
      <c r="G169" s="14"/>
      <c r="H169" s="19">
        <v>5000</v>
      </c>
      <c r="I169" s="16" t="s">
        <v>71</v>
      </c>
    </row>
    <row r="170" spans="1:9" ht="51">
      <c r="A170" s="5">
        <v>43313</v>
      </c>
      <c r="B170" s="6" t="str">
        <f>HYPERLINK("https://www.ncsu.edu/","North Carolina State University, Khayrallah Center for Lebanese Diaspora Studies")</f>
        <v>North Carolina State University, Khayrallah Center for Lebanese Diaspora Studies</v>
      </c>
      <c r="C170" s="24" t="s">
        <v>8</v>
      </c>
      <c r="D170" s="6" t="str">
        <f>HYPERLINK("https://lebanesestudies.ncsu.edu/awards/VisitingScholar.php","Visiting Scholar Grants")</f>
        <v>Visiting Scholar Grants</v>
      </c>
      <c r="E170" s="9" t="s">
        <v>580</v>
      </c>
      <c r="F170" s="10" t="s">
        <v>350</v>
      </c>
      <c r="G170" s="14"/>
      <c r="H170" s="14" t="s">
        <v>583</v>
      </c>
      <c r="I170" s="16" t="s">
        <v>584</v>
      </c>
    </row>
    <row r="171" spans="1:9" ht="165.75">
      <c r="A171" s="5">
        <v>43313</v>
      </c>
      <c r="B171" s="6" t="str">
        <f>HYPERLINK("https://awards.cies.org/","Fulbright")</f>
        <v>Fulbright</v>
      </c>
      <c r="C171" s="15" t="s">
        <v>65</v>
      </c>
      <c r="D171" s="23" t="str">
        <f>HYPERLINK("https://awards.cies.org/content/fulbright-distinguished-chair-international-relations-university-sao-paulo-usp-0","Distinguished Chair in International Relations at University of Sao Paulo (USP)")</f>
        <v>Distinguished Chair in International Relations at University of Sao Paulo (USP)</v>
      </c>
      <c r="E171" s="9" t="s">
        <v>622</v>
      </c>
      <c r="F171" s="10" t="s">
        <v>350</v>
      </c>
      <c r="G171" s="44"/>
      <c r="H171" s="44"/>
      <c r="I171" s="16" t="s">
        <v>623</v>
      </c>
    </row>
    <row r="172" spans="1:9" ht="114.75">
      <c r="A172" s="5">
        <v>43313</v>
      </c>
      <c r="B172" s="6" t="str">
        <f>HYPERLINK("https://www.cies.org/","Fulbright")</f>
        <v>Fulbright</v>
      </c>
      <c r="C172" s="7" t="s">
        <v>65</v>
      </c>
      <c r="D172" s="8" t="s">
        <v>692</v>
      </c>
      <c r="E172" s="9" t="s">
        <v>10</v>
      </c>
      <c r="F172" s="10" t="s">
        <v>687</v>
      </c>
      <c r="G172" s="44"/>
      <c r="H172" s="10"/>
      <c r="I172" s="16" t="s">
        <v>693</v>
      </c>
    </row>
    <row r="173" spans="1:9" ht="63.75">
      <c r="A173" s="5">
        <v>43313</v>
      </c>
      <c r="B173" s="6" t="str">
        <f>HYPERLINK("http://www.hluce.org/","Henry Luce Foundation")</f>
        <v>Henry Luce Foundation</v>
      </c>
      <c r="C173" s="15" t="s">
        <v>14</v>
      </c>
      <c r="D173" s="6" t="str">
        <f>HYPERLINK("http://www.hluce.org/cblprogram.aspx","Clare Boothe Luce Program ")</f>
        <v xml:space="preserve">Clare Boothe Luce Program </v>
      </c>
      <c r="E173" s="9" t="s">
        <v>60</v>
      </c>
      <c r="F173" s="10" t="s">
        <v>759</v>
      </c>
      <c r="G173" s="14"/>
      <c r="H173" s="44"/>
      <c r="I173" s="16" t="s">
        <v>762</v>
      </c>
    </row>
    <row r="174" spans="1:9" ht="191.25">
      <c r="A174" s="17">
        <v>43313</v>
      </c>
      <c r="B174" s="23" t="str">
        <f>HYPERLINK("https://www.spencer.org/","John Templeton Foundation")</f>
        <v>John Templeton Foundation</v>
      </c>
      <c r="C174" s="7" t="s">
        <v>14</v>
      </c>
      <c r="D174" s="8" t="s">
        <v>972</v>
      </c>
      <c r="E174" s="9" t="s">
        <v>152</v>
      </c>
      <c r="F174" s="44" t="s">
        <v>947</v>
      </c>
      <c r="G174" s="14"/>
      <c r="H174" s="10" t="s">
        <v>973</v>
      </c>
      <c r="I174" s="16" t="s">
        <v>974</v>
      </c>
    </row>
    <row r="175" spans="1:9" ht="191.25">
      <c r="A175" s="17">
        <v>43313</v>
      </c>
      <c r="B175" s="6" t="str">
        <f>HYPERLINK("http://wtgrantfoundation.org/","William T Grant Foundation")</f>
        <v>William T Grant Foundation</v>
      </c>
      <c r="C175" s="7" t="s">
        <v>14</v>
      </c>
      <c r="D175" s="8" t="s">
        <v>984</v>
      </c>
      <c r="E175" s="9" t="s">
        <v>10</v>
      </c>
      <c r="F175" s="44" t="s">
        <v>947</v>
      </c>
      <c r="G175" s="12"/>
      <c r="H175" s="44"/>
      <c r="I175" s="16" t="s">
        <v>997</v>
      </c>
    </row>
    <row r="176" spans="1:9" ht="51">
      <c r="A176" s="5">
        <v>43313</v>
      </c>
      <c r="B176" s="6" t="str">
        <f>HYPERLINK("https://afsp.org/","American Foundation for Suicide Prevention")</f>
        <v>American Foundation for Suicide Prevention</v>
      </c>
      <c r="C176" s="22" t="s">
        <v>14</v>
      </c>
      <c r="D176" s="6" t="str">
        <f>HYPERLINK("https://afsp.org/our-work/research/grant-information/the-focus-grants/","Focus Grants")</f>
        <v>Focus Grants</v>
      </c>
      <c r="E176" s="9" t="s">
        <v>1140</v>
      </c>
      <c r="F176" s="22" t="s">
        <v>947</v>
      </c>
      <c r="G176" s="25"/>
      <c r="H176" s="19" t="s">
        <v>1142</v>
      </c>
      <c r="I176" s="16" t="s">
        <v>1143</v>
      </c>
    </row>
    <row r="177" spans="1:9" ht="114.75">
      <c r="A177" s="5">
        <v>43313</v>
      </c>
      <c r="B177" s="6" t="str">
        <f>HYPERLINK("http://www.hfg.org/index.html","Harry Frank Guggenheim Foundation")</f>
        <v>Harry Frank Guggenheim Foundation</v>
      </c>
      <c r="C177" s="49" t="s">
        <v>14</v>
      </c>
      <c r="D177" s="20" t="s">
        <v>984</v>
      </c>
      <c r="E177" s="9" t="s">
        <v>124</v>
      </c>
      <c r="F177" s="44" t="s">
        <v>947</v>
      </c>
      <c r="G177" s="14"/>
      <c r="H177" s="44" t="s">
        <v>1193</v>
      </c>
      <c r="I177" s="16" t="s">
        <v>1194</v>
      </c>
    </row>
    <row r="178" spans="1:9" ht="178.5">
      <c r="A178" s="5">
        <v>43313</v>
      </c>
      <c r="B178" s="6" t="str">
        <f>HYPERLINK("https://www.spencer.org/","Spencer Foundation")</f>
        <v>Spencer Foundation</v>
      </c>
      <c r="C178" s="7" t="s">
        <v>14</v>
      </c>
      <c r="D178" s="6" t="str">
        <f>HYPERLINK("https://www.aarweb.org/node/142","Collaborative Research Grants")</f>
        <v>Collaborative Research Grants</v>
      </c>
      <c r="E178" s="9" t="s">
        <v>394</v>
      </c>
      <c r="F178" s="10" t="s">
        <v>1277</v>
      </c>
      <c r="G178" s="10"/>
      <c r="H178" s="22" t="s">
        <v>1278</v>
      </c>
      <c r="I178" s="16" t="s">
        <v>1279</v>
      </c>
    </row>
    <row r="179" spans="1:9" ht="293.25">
      <c r="A179" s="5">
        <v>43320</v>
      </c>
      <c r="B179" s="6" t="str">
        <f>HYPERLINK("http://NSf.gov","National Science Foundation")</f>
        <v>National Science Foundation</v>
      </c>
      <c r="C179" s="15" t="s">
        <v>65</v>
      </c>
      <c r="D179" s="6" t="str">
        <f>HYPERLINK("https://www.nsf.gov/funding/pgm_summ.jsp?pims_id=5467","Innovative Technology Experiences for Students and Teachers (ITEST)")</f>
        <v>Innovative Technology Experiences for Students and Teachers (ITEST)</v>
      </c>
      <c r="E179" s="9" t="s">
        <v>934</v>
      </c>
      <c r="F179" s="44" t="s">
        <v>935</v>
      </c>
      <c r="G179" s="14"/>
      <c r="H179" s="19"/>
      <c r="I179" s="16" t="s">
        <v>936</v>
      </c>
    </row>
    <row r="180" spans="1:9" ht="216.75">
      <c r="A180" s="5">
        <v>43321</v>
      </c>
      <c r="B180" s="6" t="str">
        <f>HYPERLINK("nea.gov","National Endowment for the Arts")</f>
        <v>National Endowment for the Arts</v>
      </c>
      <c r="C180" s="15" t="s">
        <v>65</v>
      </c>
      <c r="D180" s="30" t="str">
        <f>HYPERLINK("https://www.arts.gov/grants-organizations/our-town/introduction","Our Town")</f>
        <v>Our Town</v>
      </c>
      <c r="E180" s="9" t="s">
        <v>49</v>
      </c>
      <c r="F180" s="10" t="s">
        <v>937</v>
      </c>
      <c r="G180" s="14"/>
      <c r="H180" s="19" t="s">
        <v>939</v>
      </c>
      <c r="I180" s="16" t="s">
        <v>940</v>
      </c>
    </row>
    <row r="181" spans="1:9" ht="267.75">
      <c r="A181" s="5">
        <v>43325</v>
      </c>
      <c r="B181" s="6" t="str">
        <f>HYPERLINK("http://NSf.gov","National Science Foundation")</f>
        <v>National Science Foundation</v>
      </c>
      <c r="C181" s="7" t="s">
        <v>65</v>
      </c>
      <c r="D181" s="6" t="str">
        <f>HYPERLINK("https://www.nsf.gov/funding/pgm_summ.jsp?pims_id=13516&amp;WT.mc_id=USNSF_39&amp;WT.mc_ev=click","GeoPRISMS")</f>
        <v>GeoPRISMS</v>
      </c>
      <c r="E181" s="9" t="s">
        <v>1127</v>
      </c>
      <c r="F181" s="10" t="s">
        <v>947</v>
      </c>
      <c r="G181" s="14" t="s">
        <v>603</v>
      </c>
      <c r="H181" s="19"/>
      <c r="I181" s="16" t="s">
        <v>1128</v>
      </c>
    </row>
    <row r="182" spans="1:9" ht="178.5">
      <c r="A182" s="5">
        <v>43326</v>
      </c>
      <c r="B182" s="6" t="str">
        <f>HYPERLINK("http://NSf.gov","National Science Foundation")</f>
        <v>National Science Foundation</v>
      </c>
      <c r="C182" s="15" t="s">
        <v>65</v>
      </c>
      <c r="D182" s="6" t="str">
        <f>HYPERLINK("https://www.nsf.gov/funding/pgm_summ.jsp?pims_id=13635&amp;WT.mc_id=USNSF_39&amp;WT.mc_ev=click","Centers for Chemical Innovation (CCI)")</f>
        <v>Centers for Chemical Innovation (CCI)</v>
      </c>
      <c r="E182" s="9" t="s">
        <v>80</v>
      </c>
      <c r="F182" s="44" t="s">
        <v>1264</v>
      </c>
      <c r="G182" s="44"/>
      <c r="H182" s="10"/>
      <c r="I182" s="16" t="s">
        <v>1265</v>
      </c>
    </row>
    <row r="183" spans="1:9" ht="102">
      <c r="A183" s="5">
        <v>43327</v>
      </c>
      <c r="B183" s="6" t="str">
        <f>HYPERLINK("https://www.psychiatry.org","American Psychiatric Association")</f>
        <v>American Psychiatric Association</v>
      </c>
      <c r="C183" s="7" t="s">
        <v>14</v>
      </c>
      <c r="D183" s="8" t="s">
        <v>109</v>
      </c>
      <c r="E183" s="9" t="s">
        <v>105</v>
      </c>
      <c r="F183" s="44" t="s">
        <v>19</v>
      </c>
      <c r="G183" s="14"/>
      <c r="H183" s="10"/>
      <c r="I183" s="16" t="s">
        <v>110</v>
      </c>
    </row>
    <row r="184" spans="1:9" ht="114.75">
      <c r="A184" s="5">
        <v>43327</v>
      </c>
      <c r="B184" s="6" t="str">
        <f>HYPERLINK("http://www.sifoundation.org/","Sociological Initiative Foundation")</f>
        <v>Sociological Initiative Foundation</v>
      </c>
      <c r="C184" s="15" t="s">
        <v>14</v>
      </c>
      <c r="D184" s="8" t="s">
        <v>151</v>
      </c>
      <c r="E184" s="9" t="s">
        <v>748</v>
      </c>
      <c r="F184" s="10" t="s">
        <v>716</v>
      </c>
      <c r="G184" s="14"/>
      <c r="H184" s="44" t="s">
        <v>749</v>
      </c>
      <c r="I184" s="16" t="s">
        <v>750</v>
      </c>
    </row>
    <row r="185" spans="1:9" ht="76.5">
      <c r="A185" s="5">
        <v>43327</v>
      </c>
      <c r="B185" s="6" t="str">
        <f>HYPERLINK("http://fdnweb.org/decoizart/","Sarah de Coizart Article TENTH Perpetual Charitable Trust")</f>
        <v>Sarah de Coizart Article TENTH Perpetual Charitable Trust</v>
      </c>
      <c r="C185" s="15" t="s">
        <v>989</v>
      </c>
      <c r="D185" s="6" t="str">
        <f>HYPERLINK("http://fdnweb.org/decoizart/","Grants")</f>
        <v>Grants</v>
      </c>
      <c r="E185" s="9" t="s">
        <v>751</v>
      </c>
      <c r="F185" s="9" t="s">
        <v>980</v>
      </c>
      <c r="G185" s="21"/>
      <c r="H185" s="10" t="s">
        <v>990</v>
      </c>
      <c r="I185" s="16" t="s">
        <v>991</v>
      </c>
    </row>
    <row r="186" spans="1:9" ht="191.25">
      <c r="A186" s="5">
        <v>43327</v>
      </c>
      <c r="B186" s="6" t="str">
        <f>HYPERLINK("nsf.gov","National Science Foundation")</f>
        <v>National Science Foundation</v>
      </c>
      <c r="C186" s="15" t="s">
        <v>65</v>
      </c>
      <c r="D186" s="8" t="s">
        <v>1234</v>
      </c>
      <c r="E186" s="9" t="s">
        <v>127</v>
      </c>
      <c r="F186" s="22" t="s">
        <v>947</v>
      </c>
      <c r="G186" s="21"/>
      <c r="H186" s="10"/>
      <c r="I186" s="16" t="s">
        <v>1235</v>
      </c>
    </row>
    <row r="187" spans="1:9" ht="204">
      <c r="A187" s="5">
        <v>43327</v>
      </c>
      <c r="B187" s="6" t="str">
        <f>HYPERLINK("nsf.gov","National Science Foundation")</f>
        <v>National Science Foundation</v>
      </c>
      <c r="C187" s="7" t="s">
        <v>65</v>
      </c>
      <c r="D187" s="8" t="s">
        <v>1241</v>
      </c>
      <c r="E187" s="9" t="s">
        <v>748</v>
      </c>
      <c r="F187" s="22" t="s">
        <v>947</v>
      </c>
      <c r="G187" s="21"/>
      <c r="H187" s="10"/>
      <c r="I187" s="16" t="s">
        <v>1242</v>
      </c>
    </row>
    <row r="188" spans="1:9" ht="102">
      <c r="A188" s="5">
        <v>43328</v>
      </c>
      <c r="B188" s="53" t="str">
        <f>HYPERLINK("https://rework.hu-berlin.de/en/fellowships.html","International Research Centre ‘Work and Human Lifecycle in Global History’ at Humboldt University in Berlin")</f>
        <v>International Research Centre ‘Work and Human Lifecycle in Global History’ at Humboldt University in Berlin</v>
      </c>
      <c r="C188" s="7" t="s">
        <v>8</v>
      </c>
      <c r="D188" s="8" t="s">
        <v>419</v>
      </c>
      <c r="E188" s="9" t="s">
        <v>159</v>
      </c>
      <c r="F188" s="25" t="s">
        <v>350</v>
      </c>
      <c r="G188" s="25"/>
      <c r="H188" s="10" t="s">
        <v>420</v>
      </c>
      <c r="I188" s="16" t="s">
        <v>421</v>
      </c>
    </row>
    <row r="189" spans="1:9" ht="216.75">
      <c r="A189" s="5">
        <v>43332</v>
      </c>
      <c r="B189" s="6" t="str">
        <f>HYPERLINK("http://www.russellsage.org/","Russell Sage Foundation")</f>
        <v>Russell Sage Foundation</v>
      </c>
      <c r="C189" s="13" t="s">
        <v>14</v>
      </c>
      <c r="D189" s="23" t="str">
        <f>HYPERLINK("http://www.russellsage.org/research/funding/affordable-care-act","The Social, Economic, and Political Effects of the Affordable Care Act")</f>
        <v>The Social, Economic, and Political Effects of the Affordable Care Act</v>
      </c>
      <c r="E189" s="9" t="s">
        <v>124</v>
      </c>
      <c r="F189" s="22" t="s">
        <v>947</v>
      </c>
      <c r="G189" s="44"/>
      <c r="H189" s="10" t="s">
        <v>1195</v>
      </c>
      <c r="I189" s="16" t="s">
        <v>1196</v>
      </c>
    </row>
    <row r="190" spans="1:9" ht="191.25">
      <c r="A190" s="5">
        <v>43332</v>
      </c>
      <c r="B190" s="6" t="str">
        <f>HYPERLINK("http://www.russellsage.org/","Russell Sage Foundation")</f>
        <v>Russell Sage Foundation</v>
      </c>
      <c r="C190" s="7" t="s">
        <v>14</v>
      </c>
      <c r="D190" s="23" t="str">
        <f>HYPERLINK("http://www.russellsage.org/research/funding/future-work","Future of Work")</f>
        <v>Future of Work</v>
      </c>
      <c r="E190" s="9" t="s">
        <v>124</v>
      </c>
      <c r="F190" s="22" t="s">
        <v>947</v>
      </c>
      <c r="G190" s="22"/>
      <c r="H190" s="10" t="s">
        <v>1195</v>
      </c>
      <c r="I190" s="16" t="s">
        <v>1197</v>
      </c>
    </row>
    <row r="191" spans="1:9" ht="216.75">
      <c r="A191" s="71">
        <v>43332</v>
      </c>
      <c r="B191" s="6" t="str">
        <f>HYPERLINK("http://www.russellsage.org/","Russell Sage Foundation")</f>
        <v>Russell Sage Foundation</v>
      </c>
      <c r="C191" s="15" t="s">
        <v>14</v>
      </c>
      <c r="D191" s="23" t="str">
        <f>HYPERLINK("http://www.russellsage.org/research/funding/social-inequality","Social Inequality")</f>
        <v>Social Inequality</v>
      </c>
      <c r="E191" s="9" t="s">
        <v>124</v>
      </c>
      <c r="F191" s="22" t="s">
        <v>947</v>
      </c>
      <c r="G191" s="22"/>
      <c r="H191" s="14" t="s">
        <v>1195</v>
      </c>
      <c r="I191" s="16" t="s">
        <v>1198</v>
      </c>
    </row>
    <row r="192" spans="1:9" ht="165.75">
      <c r="A192" s="5">
        <v>43332</v>
      </c>
      <c r="B192" s="6" t="str">
        <f>HYPERLINK("http://www.russellsage.org/","Russell Sage Foundation")</f>
        <v>Russell Sage Foundation</v>
      </c>
      <c r="C192" s="15" t="s">
        <v>14</v>
      </c>
      <c r="D192" s="8" t="s">
        <v>1199</v>
      </c>
      <c r="E192" s="9" t="s">
        <v>124</v>
      </c>
      <c r="F192" s="44" t="s">
        <v>947</v>
      </c>
      <c r="G192" s="44"/>
      <c r="H192" s="10" t="s">
        <v>1195</v>
      </c>
      <c r="I192" s="16" t="s">
        <v>1200</v>
      </c>
    </row>
    <row r="193" spans="1:9" ht="344.25">
      <c r="A193" s="5">
        <v>43332</v>
      </c>
      <c r="B193" s="6" t="str">
        <f>HYPERLINK("https://www.ploughshares.org","Ploughshares Foundation")</f>
        <v>Ploughshares Foundation</v>
      </c>
      <c r="C193" s="15" t="s">
        <v>14</v>
      </c>
      <c r="D193" s="6" t="str">
        <f>HYPERLINK("https://www.ploughshares.org/what-we-fund","Projects that Promote a Nuclear-Free World")</f>
        <v>Projects that Promote a Nuclear-Free World</v>
      </c>
      <c r="E193" s="9" t="s">
        <v>124</v>
      </c>
      <c r="F193" s="44"/>
      <c r="G193" s="44"/>
      <c r="H193" s="10"/>
      <c r="I193" s="16" t="s">
        <v>1371</v>
      </c>
    </row>
    <row r="194" spans="1:9" ht="229.5">
      <c r="A194" s="17">
        <v>43334</v>
      </c>
      <c r="B194" s="6" t="str">
        <f>HYPERLINK("https://roddenberryfellowship.org/","Roddenberry Fellowship")</f>
        <v>Roddenberry Fellowship</v>
      </c>
      <c r="C194" s="15" t="s">
        <v>14</v>
      </c>
      <c r="D194" s="6" t="str">
        <f>HYPERLINK("https://roddenberryfellowship.org/about/","Roddenberry Fellowship")</f>
        <v>Roddenberry Fellowship</v>
      </c>
      <c r="E194" s="9" t="s">
        <v>10</v>
      </c>
      <c r="F194" s="44" t="s">
        <v>906</v>
      </c>
      <c r="G194" s="44"/>
      <c r="H194" s="19">
        <v>50000</v>
      </c>
      <c r="I194" s="16" t="s">
        <v>907</v>
      </c>
    </row>
    <row r="195" spans="1:9" ht="89.25">
      <c r="A195" s="5">
        <v>43343</v>
      </c>
      <c r="B195" s="6" t="str">
        <f>HYPERLINK("http://www.eifgrants.org","Engineering Information Foundation")</f>
        <v>Engineering Information Foundation</v>
      </c>
      <c r="C195" s="15" t="s">
        <v>14</v>
      </c>
      <c r="D195" s="23" t="str">
        <f>HYPERLINK("http://www.eifgrants.org/info/women.html","Women in Engineering Grant Program")</f>
        <v>Women in Engineering Grant Program</v>
      </c>
      <c r="E195" s="9" t="s">
        <v>763</v>
      </c>
      <c r="F195" s="44" t="s">
        <v>788</v>
      </c>
      <c r="G195" s="14"/>
      <c r="H195" s="44" t="s">
        <v>712</v>
      </c>
      <c r="I195" s="16" t="s">
        <v>806</v>
      </c>
    </row>
    <row r="196" spans="1:9">
      <c r="A196" s="5">
        <v>43344</v>
      </c>
      <c r="B196" s="6" t="str">
        <f>HYPERLINK("https://journalism.columbia.edu","Columbia Journalism School")</f>
        <v>Columbia Journalism School</v>
      </c>
      <c r="C196" s="7" t="s">
        <v>8</v>
      </c>
      <c r="D196" s="8" t="s">
        <v>9</v>
      </c>
      <c r="E196" s="9" t="s">
        <v>10</v>
      </c>
      <c r="F196" s="10" t="s">
        <v>11</v>
      </c>
      <c r="G196" s="44" t="s">
        <v>11</v>
      </c>
      <c r="H196" s="10" t="s">
        <v>11</v>
      </c>
      <c r="I196" s="11" t="s">
        <v>12</v>
      </c>
    </row>
    <row r="197" spans="1:9" ht="153">
      <c r="A197" s="5">
        <v>43344</v>
      </c>
      <c r="B197" s="6" t="str">
        <f>HYPERLINK("https://warholfoundation.org/","Warhol Foundation")</f>
        <v>Warhol Foundation</v>
      </c>
      <c r="C197" s="15" t="s">
        <v>14</v>
      </c>
      <c r="D197" s="6" t="str">
        <f>HYPERLINK("https://warholfoundation.org/grant/overview.html"," Grants for Scholarly Exhibitions, Publications, and Visual Arts Programming, Including Artist Residencies and New Commissions.")</f>
        <v xml:space="preserve"> Grants for Scholarly Exhibitions, Publications, and Visual Arts Programming, Including Artist Residencies and New Commissions.</v>
      </c>
      <c r="E197" s="9" t="s">
        <v>36</v>
      </c>
      <c r="F197" s="10" t="s">
        <v>22</v>
      </c>
      <c r="G197" s="14"/>
      <c r="H197" s="44" t="s">
        <v>37</v>
      </c>
      <c r="I197" s="16" t="s">
        <v>38</v>
      </c>
    </row>
    <row r="198" spans="1:9" ht="382.5">
      <c r="A198" s="5">
        <v>43344</v>
      </c>
      <c r="B198" s="6" t="str">
        <f>HYPERLINK("https://www.ssrc.org/","Social Science Research Council")</f>
        <v>Social Science Research Council</v>
      </c>
      <c r="C198" s="15" t="s">
        <v>14</v>
      </c>
      <c r="D198" s="6" t="str">
        <f>HYPERLINK("https://www.ssrc.org/fellowships/view/abe-fellowship/","Abe Fellowship")</f>
        <v>Abe Fellowship</v>
      </c>
      <c r="E198" s="9" t="s">
        <v>124</v>
      </c>
      <c r="F198" s="44" t="s">
        <v>163</v>
      </c>
      <c r="G198" s="44"/>
      <c r="H198" s="14" t="s">
        <v>305</v>
      </c>
      <c r="I198" s="16" t="s">
        <v>306</v>
      </c>
    </row>
    <row r="199" spans="1:9" ht="140.25">
      <c r="A199" s="102">
        <v>43344</v>
      </c>
      <c r="B199" s="6" t="str">
        <f>HYPERLINK("https://www.wilsoncenter.org/","Wilson Center")</f>
        <v>Wilson Center</v>
      </c>
      <c r="C199" s="15" t="s">
        <v>14</v>
      </c>
      <c r="D199" s="6" t="str">
        <f>HYPERLINK("https://www.wilsoncenter.org/opportunity/george-f-kennan-fellowship","George F. Kennan Fellowship")</f>
        <v>George F. Kennan Fellowship</v>
      </c>
      <c r="E199" s="9" t="s">
        <v>594</v>
      </c>
      <c r="F199" s="10" t="s">
        <v>350</v>
      </c>
      <c r="G199" s="14"/>
      <c r="H199" s="44" t="s">
        <v>595</v>
      </c>
      <c r="I199" s="16" t="s">
        <v>596</v>
      </c>
    </row>
    <row r="200" spans="1:9" ht="51">
      <c r="A200" s="5">
        <v>43344</v>
      </c>
      <c r="B200" s="23" t="str">
        <f>HYPERLINK("http://www.furthermore.org/index.html","Furthermore Grants in Publishing")</f>
        <v>Furthermore Grants in Publishing</v>
      </c>
      <c r="C200" s="7" t="s">
        <v>14</v>
      </c>
      <c r="D200" s="23" t="str">
        <f>HYPERLINK("http://www.furthermore.org/index.html","Furthermore Grants in Publishing")</f>
        <v>Furthermore Grants in Publishing</v>
      </c>
      <c r="E200" s="9" t="s">
        <v>40</v>
      </c>
      <c r="F200" s="25" t="s">
        <v>833</v>
      </c>
      <c r="G200" s="48"/>
      <c r="H200" s="10" t="s">
        <v>778</v>
      </c>
      <c r="I200" s="16" t="s">
        <v>848</v>
      </c>
    </row>
    <row r="201" spans="1:9" ht="76.5">
      <c r="A201" s="73">
        <v>43344</v>
      </c>
      <c r="B201" s="8" t="s">
        <v>849</v>
      </c>
      <c r="C201" s="7" t="s">
        <v>14</v>
      </c>
      <c r="D201" s="8" t="s">
        <v>849</v>
      </c>
      <c r="E201" s="9" t="s">
        <v>40</v>
      </c>
      <c r="F201" s="10" t="s">
        <v>833</v>
      </c>
      <c r="G201" s="10"/>
      <c r="H201" s="10" t="s">
        <v>850</v>
      </c>
      <c r="I201" s="16" t="s">
        <v>851</v>
      </c>
    </row>
    <row r="202" spans="1:9" ht="89.25">
      <c r="A202" s="5">
        <v>43344</v>
      </c>
      <c r="B202" s="6" t="str">
        <f>HYPERLINK("https://www.imls.gov/","Institute of Museum and Library Studies (IMLS)")</f>
        <v>Institute of Museum and Library Studies (IMLS)</v>
      </c>
      <c r="C202" s="49" t="s">
        <v>65</v>
      </c>
      <c r="D202" s="20" t="s">
        <v>892</v>
      </c>
      <c r="E202" s="9" t="s">
        <v>58</v>
      </c>
      <c r="F202" s="44" t="s">
        <v>833</v>
      </c>
      <c r="G202" s="44"/>
      <c r="H202" s="14"/>
      <c r="I202" s="16" t="s">
        <v>893</v>
      </c>
    </row>
    <row r="203" spans="1:9" ht="178.5">
      <c r="A203" s="5">
        <v>43344</v>
      </c>
      <c r="B203" s="6" t="str">
        <f>HYPERLINK("https://research.columbia.edu/","Columbia")</f>
        <v>Columbia</v>
      </c>
      <c r="C203" s="7" t="s">
        <v>8</v>
      </c>
      <c r="D203" s="8" t="str">
        <f>HYPERLINK("https://research.columbia.edu/content/rise","Research Initiatives in Science and Engineering")</f>
        <v>Research Initiatives in Science and Engineering</v>
      </c>
      <c r="E203" s="44" t="s">
        <v>60</v>
      </c>
      <c r="F203" s="10" t="s">
        <v>1272</v>
      </c>
      <c r="G203" s="21"/>
      <c r="H203" s="21" t="s">
        <v>1273</v>
      </c>
      <c r="I203" s="29" t="s">
        <v>1274</v>
      </c>
    </row>
    <row r="204" spans="1:9" ht="216.75">
      <c r="A204" s="5">
        <v>43348</v>
      </c>
      <c r="B204" s="6" t="str">
        <f>HYPERLINK("https://www.nsf.gov/","National Science Foundation")</f>
        <v>National Science Foundation</v>
      </c>
      <c r="C204" s="15" t="s">
        <v>65</v>
      </c>
      <c r="D204" s="6" t="str">
        <f>HYPERLINK("https://www.nsf.gov/funding/pgm_summ.jsp?pims_id=5690","Mathematical Biology")</f>
        <v>Mathematical Biology</v>
      </c>
      <c r="E204" s="9" t="s">
        <v>101</v>
      </c>
      <c r="F204" s="10" t="s">
        <v>947</v>
      </c>
      <c r="G204" s="14"/>
      <c r="H204" s="14"/>
      <c r="I204" s="16" t="s">
        <v>1147</v>
      </c>
    </row>
    <row r="205" spans="1:9" ht="89.25">
      <c r="A205" s="5">
        <v>43348</v>
      </c>
      <c r="B205" s="6" t="str">
        <f>HYPERLINK("https://www.nsf.gov/","National Science Foundation")</f>
        <v>National Science Foundation</v>
      </c>
      <c r="C205" s="15" t="s">
        <v>65</v>
      </c>
      <c r="D205" s="6" t="str">
        <f>HYPERLINK("https://www.nsf.gov/funding/pgm_summ.jsp?pims_id=5555","Probability")</f>
        <v>Probability</v>
      </c>
      <c r="E205" s="9" t="s">
        <v>101</v>
      </c>
      <c r="F205" s="10" t="s">
        <v>947</v>
      </c>
      <c r="G205" s="14"/>
      <c r="H205" s="10"/>
      <c r="I205" s="16" t="s">
        <v>1148</v>
      </c>
    </row>
    <row r="206" spans="1:9" ht="255">
      <c r="A206" s="5">
        <v>43350</v>
      </c>
      <c r="B206" s="6" t="str">
        <f>HYPERLINK("https://www.nature.org/?intc=nature.tnav.logo","Nature Conservancy")</f>
        <v>Nature Conservancy</v>
      </c>
      <c r="C206" s="7" t="s">
        <v>14</v>
      </c>
      <c r="D206" s="8" t="s">
        <v>702</v>
      </c>
      <c r="E206" s="9" t="s">
        <v>76</v>
      </c>
      <c r="F206" s="44" t="s">
        <v>687</v>
      </c>
      <c r="G206" s="44" t="s">
        <v>50</v>
      </c>
      <c r="H206" s="10"/>
      <c r="I206" s="16" t="s">
        <v>703</v>
      </c>
    </row>
    <row r="207" spans="1:9" ht="204">
      <c r="A207" s="5">
        <v>43355</v>
      </c>
      <c r="B207" s="6" t="str">
        <f>HYPERLINK("https://www.nsf.gov/","National Science Foundation")</f>
        <v>National Science Foundation</v>
      </c>
      <c r="C207" s="7" t="s">
        <v>65</v>
      </c>
      <c r="D207" s="23" t="str">
        <f>HYPERLINK("https://www.nsf.gov/funding/pgm_summ.jsp?pims_id=5671","Research Training Groups in the Mathematical Sciences")</f>
        <v>Research Training Groups in the Mathematical Sciences</v>
      </c>
      <c r="E207" s="9" t="s">
        <v>101</v>
      </c>
      <c r="F207" s="44" t="s">
        <v>947</v>
      </c>
      <c r="G207" s="44"/>
      <c r="H207" s="10" t="s">
        <v>1149</v>
      </c>
      <c r="I207" s="16" t="s">
        <v>1150</v>
      </c>
    </row>
    <row r="208" spans="1:9" ht="267.75">
      <c r="A208" s="5">
        <v>43356</v>
      </c>
      <c r="B208" s="6" t="str">
        <f>HYPERLINK("https://www.radcliffe.harvard.edu/","Radcliffe Institute for Advanced Study Harvard University")</f>
        <v>Radcliffe Institute for Advanced Study Harvard University</v>
      </c>
      <c r="C208" s="7" t="s">
        <v>8</v>
      </c>
      <c r="D208" s="8" t="s">
        <v>539</v>
      </c>
      <c r="E208" s="9" t="s">
        <v>540</v>
      </c>
      <c r="F208" s="44" t="s">
        <v>350</v>
      </c>
      <c r="G208" s="44"/>
      <c r="H208" s="10"/>
      <c r="I208" s="16" t="s">
        <v>541</v>
      </c>
    </row>
    <row r="209" spans="1:9" ht="127.5">
      <c r="A209" s="5">
        <v>43356</v>
      </c>
      <c r="B209" s="6" t="str">
        <f>HYPERLINK("https://truthinitiative.org/","Truth Initiative")</f>
        <v>Truth Initiative</v>
      </c>
      <c r="C209" s="7" t="s">
        <v>14</v>
      </c>
      <c r="D209" s="6" t="str">
        <f>HYPERLINK("https://truthinitiative.org/collegegrant?utm_source=Truth+Initiative+Mailing+List&amp;utm_campaign=b65c559c9a-College_Grant_2018_07_11&amp;utm_medium=email&amp;utm_term=0_c91fd8a5c5-b65c559c9a-86460615","2018 Tobacco-Free Grants for Minority-Serving Institutions, Community and Women’s Colleges")</f>
        <v>2018 Tobacco-Free Grants for Minority-Serving Institutions, Community and Women’s Colleges</v>
      </c>
      <c r="E209" s="9" t="s">
        <v>928</v>
      </c>
      <c r="F209" s="44" t="s">
        <v>929</v>
      </c>
      <c r="G209" s="44"/>
      <c r="H209" s="10" t="s">
        <v>930</v>
      </c>
      <c r="I209" s="16" t="s">
        <v>931</v>
      </c>
    </row>
    <row r="210" spans="1:9" ht="153">
      <c r="A210" s="5">
        <v>43357</v>
      </c>
      <c r="B210" s="6" t="str">
        <f>HYPERLINK("http://www.sdrubin.org/","Shelley &amp; Donald Rubin Foundation")</f>
        <v>Shelley &amp; Donald Rubin Foundation</v>
      </c>
      <c r="C210" s="7" t="s">
        <v>14</v>
      </c>
      <c r="D210" s="6" t="str">
        <f>HYPERLINK("http://www.sdrubin.org/grant-program/","Grant Program")</f>
        <v>Grant Program</v>
      </c>
      <c r="E210" s="9" t="s">
        <v>40</v>
      </c>
      <c r="F210" s="44" t="s">
        <v>788</v>
      </c>
      <c r="G210" s="44"/>
      <c r="H210" s="10" t="s">
        <v>790</v>
      </c>
      <c r="I210" s="16" t="s">
        <v>791</v>
      </c>
    </row>
    <row r="211" spans="1:9" ht="89.25">
      <c r="A211" s="5">
        <v>43358</v>
      </c>
      <c r="B211" s="6" t="str">
        <f>HYPERLINK("http://grahamfoundation.org","Graham Foundation")</f>
        <v>Graham Foundation</v>
      </c>
      <c r="C211" s="15" t="s">
        <v>14</v>
      </c>
      <c r="D211" s="6" t="str">
        <f>HYPERLINK("http://www.grahamfoundation.org/grant_programs?mode=individual","Production and Presentation Grants")</f>
        <v>Production and Presentation Grants</v>
      </c>
      <c r="E211" s="9" t="s">
        <v>31</v>
      </c>
      <c r="F211" s="10" t="s">
        <v>19</v>
      </c>
      <c r="G211" s="14"/>
      <c r="H211" s="10" t="s">
        <v>32</v>
      </c>
      <c r="I211" s="16" t="s">
        <v>33</v>
      </c>
    </row>
    <row r="212" spans="1:9" ht="140.25">
      <c r="A212" s="17">
        <v>43358</v>
      </c>
      <c r="B212" s="6" t="str">
        <f>HYPERLINK("http://grahamfoundation.org","Graham Foundation")</f>
        <v>Graham Foundation</v>
      </c>
      <c r="C212" s="15" t="s">
        <v>14</v>
      </c>
      <c r="D212" s="6" t="str">
        <f>HYPERLINK("http://www.grahamfoundation.org/grant_programs?mode=individual","Reserach and Development Grants")</f>
        <v>Reserach and Development Grants</v>
      </c>
      <c r="E212" s="22" t="s">
        <v>31</v>
      </c>
      <c r="F212" s="10" t="s">
        <v>19</v>
      </c>
      <c r="G212" s="14"/>
      <c r="H212" s="44" t="s">
        <v>34</v>
      </c>
      <c r="I212" s="16" t="s">
        <v>35</v>
      </c>
    </row>
    <row r="213" spans="1:9" ht="76.5">
      <c r="A213" s="5">
        <v>43358</v>
      </c>
      <c r="B213" s="6" t="str">
        <f>HYPERLINK("https://www.rsa.org/","Renaissance Society of America")</f>
        <v>Renaissance Society of America</v>
      </c>
      <c r="C213" s="15" t="s">
        <v>14</v>
      </c>
      <c r="D213" s="6" t="str">
        <f>HYPERLINK("https://www.rsa.org/page/fellowships","Samuel H. Kress Mid-Career Research and Publication Fellowships in Art History")</f>
        <v>Samuel H. Kress Mid-Career Research and Publication Fellowships in Art History</v>
      </c>
      <c r="E213" s="9" t="s">
        <v>177</v>
      </c>
      <c r="F213" s="22" t="s">
        <v>163</v>
      </c>
      <c r="G213" s="14"/>
      <c r="H213" s="19">
        <v>3000</v>
      </c>
      <c r="I213" s="16" t="s">
        <v>178</v>
      </c>
    </row>
    <row r="214" spans="1:9" ht="178.5">
      <c r="A214" s="5">
        <v>43358</v>
      </c>
      <c r="B214" s="6" t="str">
        <f>HYPERLINK("https://www.rsa.org/","Renaissance Society of America")</f>
        <v>Renaissance Society of America</v>
      </c>
      <c r="C214" s="7" t="s">
        <v>14</v>
      </c>
      <c r="D214" s="6" t="str">
        <f>HYPERLINK("https://www.rsa.org/page/fellowships","Research Fellowships")</f>
        <v>Research Fellowships</v>
      </c>
      <c r="E214" s="9" t="s">
        <v>159</v>
      </c>
      <c r="F214" s="22" t="s">
        <v>163</v>
      </c>
      <c r="G214" s="14"/>
      <c r="H214" s="19">
        <v>3000</v>
      </c>
      <c r="I214" s="16" t="s">
        <v>234</v>
      </c>
    </row>
    <row r="215" spans="1:9" ht="242.25">
      <c r="A215" s="5">
        <v>43358</v>
      </c>
      <c r="B215" s="6" t="str">
        <f>HYPERLINK("https://www.rsa.org/","Renaissance Society of America")</f>
        <v>Renaissance Society of America</v>
      </c>
      <c r="C215" s="7" t="s">
        <v>14</v>
      </c>
      <c r="D215" s="6" t="str">
        <f>HYPERLINK("https://www.rsa.org/page/fellowships","Samuel H. Kress Short-Term Research Library Fellowships for Art Historians")</f>
        <v>Samuel H. Kress Short-Term Research Library Fellowships for Art Historians</v>
      </c>
      <c r="E215" s="9" t="s">
        <v>177</v>
      </c>
      <c r="F215" s="22" t="s">
        <v>350</v>
      </c>
      <c r="G215" s="14"/>
      <c r="H215" s="19" t="s">
        <v>360</v>
      </c>
      <c r="I215" s="16" t="s">
        <v>361</v>
      </c>
    </row>
    <row r="216" spans="1:9" ht="242.25">
      <c r="A216" s="5">
        <v>43358</v>
      </c>
      <c r="B216" s="6" t="str">
        <f>HYPERLINK("https://www.rsa.org/","Renaissance Society of America")</f>
        <v>Renaissance Society of America</v>
      </c>
      <c r="C216" s="15" t="s">
        <v>14</v>
      </c>
      <c r="D216" s="6" t="str">
        <f>HYPERLINK("https://www.rsa.org/page/fellowships", "Residential Fellowships")</f>
        <v>Residential Fellowships</v>
      </c>
      <c r="E216" s="9" t="s">
        <v>159</v>
      </c>
      <c r="F216" s="9" t="s">
        <v>350</v>
      </c>
      <c r="G216" s="14"/>
      <c r="H216" s="19" t="s">
        <v>360</v>
      </c>
      <c r="I216" s="16" t="s">
        <v>422</v>
      </c>
    </row>
    <row r="217" spans="1:9" ht="204">
      <c r="A217" s="5">
        <v>43358</v>
      </c>
      <c r="B217" s="6" t="str">
        <f>HYPERLINK("http://www.gei.de/en/home.html","Georg Eckert Institute")</f>
        <v>Georg Eckert Institute</v>
      </c>
      <c r="C217" s="15" t="s">
        <v>14</v>
      </c>
      <c r="D217" s="8" t="s">
        <v>494</v>
      </c>
      <c r="E217" s="9" t="s">
        <v>152</v>
      </c>
      <c r="F217" s="44" t="s">
        <v>350</v>
      </c>
      <c r="G217" s="10"/>
      <c r="H217" s="55" t="s">
        <v>495</v>
      </c>
      <c r="I217" s="16" t="s">
        <v>496</v>
      </c>
    </row>
    <row r="218" spans="1:9" ht="127.5">
      <c r="A218" s="5">
        <v>43358</v>
      </c>
      <c r="B218" s="8" t="s">
        <v>619</v>
      </c>
      <c r="C218" s="15" t="s">
        <v>8</v>
      </c>
      <c r="D218" s="6" t="str">
        <f>HYPERLINK("https://www.wilsoncenter.org/opportunity/kennan-institute-short-term-grant","Title VIII Short-Term Grants")</f>
        <v>Title VIII Short-Term Grants</v>
      </c>
      <c r="E218" s="9" t="s">
        <v>614</v>
      </c>
      <c r="F218" s="10" t="s">
        <v>350</v>
      </c>
      <c r="G218" s="14"/>
      <c r="H218" s="14" t="s">
        <v>620</v>
      </c>
      <c r="I218" s="16" t="s">
        <v>621</v>
      </c>
    </row>
    <row r="219" spans="1:9" ht="114.75">
      <c r="A219" s="5">
        <v>43358</v>
      </c>
      <c r="B219" s="6" t="str">
        <f>HYPERLINK("http://www.collegeart.org/","College Art Association")</f>
        <v>College Art Association</v>
      </c>
      <c r="C219" s="15" t="s">
        <v>14</v>
      </c>
      <c r="D219" s="6" t="str">
        <f>HYPERLINK("http://www.collegeart.org/programs/publishing-grants/meiss","MILLARD MEISS PUBLICATION FUND")</f>
        <v>MILLARD MEISS PUBLICATION FUND</v>
      </c>
      <c r="E219" s="9" t="s">
        <v>177</v>
      </c>
      <c r="F219" s="10" t="s">
        <v>941</v>
      </c>
      <c r="G219" s="14"/>
      <c r="H219" s="10"/>
      <c r="I219" s="16" t="s">
        <v>942</v>
      </c>
    </row>
    <row r="220" spans="1:9" ht="76.5">
      <c r="A220" s="5">
        <v>43358</v>
      </c>
      <c r="B220" s="6" t="str">
        <f>HYPERLINK("http://www.collegeart.org/","College Art Association")</f>
        <v>College Art Association</v>
      </c>
      <c r="C220" s="7" t="s">
        <v>14</v>
      </c>
      <c r="D220" s="75" t="str">
        <f>HYPERLINK("http://www.collegeart.org/programs/publishing-grants/wyeth/index","WYETH FOUNDATION FOR AMERICAN ART PUBLICATION GRANT")</f>
        <v>WYETH FOUNDATION FOR AMERICAN ART PUBLICATION GRANT</v>
      </c>
      <c r="E220" s="9" t="s">
        <v>177</v>
      </c>
      <c r="F220" s="10" t="s">
        <v>941</v>
      </c>
      <c r="G220" s="14"/>
      <c r="H220" s="10"/>
      <c r="I220" s="16" t="s">
        <v>943</v>
      </c>
    </row>
    <row r="221" spans="1:9" ht="76.5">
      <c r="A221" s="17">
        <v>43358</v>
      </c>
      <c r="B221" s="6" t="str">
        <f>HYPERLINK("https://www.oclc.org/research.html","Online Computer Library Center (OCLC)")</f>
        <v>Online Computer Library Center (OCLC)</v>
      </c>
      <c r="C221" s="49" t="s">
        <v>14</v>
      </c>
      <c r="D221" s="20" t="s">
        <v>1020</v>
      </c>
      <c r="E221" s="9" t="s">
        <v>58</v>
      </c>
      <c r="F221" s="10" t="s">
        <v>947</v>
      </c>
      <c r="G221" s="14"/>
      <c r="H221" s="10" t="s">
        <v>769</v>
      </c>
      <c r="I221" s="16" t="s">
        <v>1021</v>
      </c>
    </row>
    <row r="222" spans="1:9" ht="242.25">
      <c r="A222" s="71">
        <v>43358</v>
      </c>
      <c r="B222" s="6" t="str">
        <f>HYPERLINK("http://fdnweb.org/eppley/","Eppley Foundation")</f>
        <v>Eppley Foundation</v>
      </c>
      <c r="C222" s="24" t="s">
        <v>14</v>
      </c>
      <c r="D222" s="8" t="s">
        <v>1053</v>
      </c>
      <c r="E222" s="22" t="s">
        <v>60</v>
      </c>
      <c r="F222" s="44" t="s">
        <v>947</v>
      </c>
      <c r="G222" s="44"/>
      <c r="H222" s="44" t="s">
        <v>1054</v>
      </c>
      <c r="I222" s="47" t="s">
        <v>1055</v>
      </c>
    </row>
    <row r="223" spans="1:9" ht="140.25">
      <c r="A223" s="17">
        <v>43358</v>
      </c>
      <c r="B223" s="6" t="str">
        <f>HYPERLINK("https://www.fordlibrarymuseum.gov/index.aspx","Gerald R. Ford Library")</f>
        <v>Gerald R. Ford Library</v>
      </c>
      <c r="C223" s="15" t="s">
        <v>183</v>
      </c>
      <c r="D223" s="8" t="s">
        <v>1325</v>
      </c>
      <c r="E223" s="9" t="s">
        <v>127</v>
      </c>
      <c r="F223" s="10" t="s">
        <v>1321</v>
      </c>
      <c r="G223" s="10"/>
      <c r="H223" s="44"/>
      <c r="I223" s="16" t="s">
        <v>1326</v>
      </c>
    </row>
    <row r="224" spans="1:9" ht="76.5">
      <c r="A224" s="5">
        <v>43359</v>
      </c>
      <c r="B224" s="6" t="str">
        <f>HYPERLINK("https://www.sqcc.org/","Sultan Qaboos Cultural Center")</f>
        <v>Sultan Qaboos Cultural Center</v>
      </c>
      <c r="C224" s="7" t="s">
        <v>14</v>
      </c>
      <c r="D224" s="6" t="str">
        <f>HYPERLINK("https://www.sqcc.org/Scholarships-0024-Fellowships/Research-Fellowship-Program.aspx","Sultan Qaboos Cultural Center’s Research Fellowship")</f>
        <v>Sultan Qaboos Cultural Center’s Research Fellowship</v>
      </c>
      <c r="E224" s="9" t="s">
        <v>580</v>
      </c>
      <c r="F224" s="10" t="s">
        <v>350</v>
      </c>
      <c r="G224" s="14"/>
      <c r="H224" s="44" t="s">
        <v>585</v>
      </c>
      <c r="I224" s="16" t="s">
        <v>586</v>
      </c>
    </row>
    <row r="225" spans="1:9" ht="140.25">
      <c r="A225" s="5">
        <v>43360</v>
      </c>
      <c r="B225" s="6" t="str">
        <f>HYPERLINK("https://sloan.org/","Alfred P. Sloan Foundation")</f>
        <v>Alfred P. Sloan Foundation</v>
      </c>
      <c r="C225" s="15" t="s">
        <v>69</v>
      </c>
      <c r="D225" s="8" t="s">
        <v>669</v>
      </c>
      <c r="E225" s="9" t="s">
        <v>60</v>
      </c>
      <c r="F225" s="10" t="s">
        <v>670</v>
      </c>
      <c r="G225" s="14" t="s">
        <v>67</v>
      </c>
      <c r="H225" s="19">
        <v>65000</v>
      </c>
      <c r="I225" s="16" t="s">
        <v>671</v>
      </c>
    </row>
    <row r="226" spans="1:9" ht="204">
      <c r="A226" s="71">
        <v>43360</v>
      </c>
      <c r="B226" s="8" t="str">
        <f>HYPERLINK("https://www.nsf.gov/","National Science Foundation")</f>
        <v>National Science Foundation</v>
      </c>
      <c r="C226" s="15" t="s">
        <v>65</v>
      </c>
      <c r="D226" s="8" t="s">
        <v>961</v>
      </c>
      <c r="E226" s="9" t="s">
        <v>40</v>
      </c>
      <c r="F226" s="10" t="s">
        <v>947</v>
      </c>
      <c r="G226" s="14"/>
      <c r="H226" s="10"/>
      <c r="I226" s="16" t="s">
        <v>962</v>
      </c>
    </row>
    <row r="227" spans="1:9" ht="153">
      <c r="A227" s="5">
        <v>43360</v>
      </c>
      <c r="B227" s="8" t="str">
        <f>HYPERLINK("https://www.nsf.gov/","National Science Foundation")</f>
        <v>National Science Foundation</v>
      </c>
      <c r="C227" s="7" t="s">
        <v>65</v>
      </c>
      <c r="D227" s="6" t="str">
        <f>HYPERLINK("https://www.nsf.gov/funding/pgm_summ.jsp?pims_id=504687","Computational and Data-Enabled Science and Engineering in Mathematical and Statistical Sciences  (CDS&amp;E-MSS)")</f>
        <v>Computational and Data-Enabled Science and Engineering in Mathematical and Statistical Sciences  (CDS&amp;E-MSS)</v>
      </c>
      <c r="E227" s="9" t="s">
        <v>101</v>
      </c>
      <c r="F227" s="10" t="s">
        <v>947</v>
      </c>
      <c r="G227" s="14"/>
      <c r="H227" s="14"/>
      <c r="I227" s="16" t="s">
        <v>1151</v>
      </c>
    </row>
    <row r="228" spans="1:9" ht="165.75">
      <c r="A228" s="5">
        <v>43361</v>
      </c>
      <c r="B228" s="6" t="str">
        <f>HYPERLINK("https://www.caorc.org/","Council of American Overseas Research Centers (CAORC)")</f>
        <v>Council of American Overseas Research Centers (CAORC)</v>
      </c>
      <c r="C228" s="7" t="s">
        <v>14</v>
      </c>
      <c r="D228" s="6" t="str">
        <f>HYPERLINK("https://www.caorc.org/fellowships","National Endowment for the Humanities Senior Research Fellowship Programs")</f>
        <v>National Endowment for the Humanities Senior Research Fellowship Programs</v>
      </c>
      <c r="E228" s="9" t="s">
        <v>284</v>
      </c>
      <c r="F228" s="25" t="s">
        <v>350</v>
      </c>
      <c r="G228" s="25" t="s">
        <v>547</v>
      </c>
      <c r="H228" s="10"/>
      <c r="I228" s="16" t="s">
        <v>548</v>
      </c>
    </row>
    <row r="229" spans="1:9" ht="140.25">
      <c r="A229" s="5">
        <v>43361</v>
      </c>
      <c r="B229" s="6" t="str">
        <f>HYPERLINK("https://www.caorc.org/","Council of American Overseas Research Centers (CAORC)")</f>
        <v>Council of American Overseas Research Centers (CAORC)</v>
      </c>
      <c r="C229" s="7" t="s">
        <v>14</v>
      </c>
      <c r="D229" s="6" t="str">
        <f>HYPERLINK("https://www.caorc.org/fellowships","Multi-country Research Fellowship Program")</f>
        <v>Multi-country Research Fellowship Program</v>
      </c>
      <c r="E229" s="9" t="s">
        <v>284</v>
      </c>
      <c r="F229" s="25" t="s">
        <v>652</v>
      </c>
      <c r="G229" s="25"/>
      <c r="H229" s="10" t="s">
        <v>653</v>
      </c>
      <c r="I229" s="16" t="s">
        <v>654</v>
      </c>
    </row>
    <row r="230" spans="1:9" ht="153">
      <c r="A230" s="21">
        <v>43361</v>
      </c>
      <c r="B230" s="6" t="str">
        <f>HYPERLINK("https://lmcc.net/","Lower Manhattan Cultural Council")</f>
        <v>Lower Manhattan Cultural Council</v>
      </c>
      <c r="C230" s="7" t="s">
        <v>14</v>
      </c>
      <c r="D230" s="104" t="str">
        <f>HYPERLINK("https://lmcc.net/resources/manhattan-arts-grants/creative-engagement/","Creative Engagement")</f>
        <v>Creative Engagement</v>
      </c>
      <c r="E230" s="22" t="s">
        <v>730</v>
      </c>
      <c r="F230" s="44" t="s">
        <v>716</v>
      </c>
      <c r="G230" s="44"/>
      <c r="H230" s="19"/>
      <c r="I230" s="16" t="s">
        <v>731</v>
      </c>
    </row>
    <row r="231" spans="1:9" ht="153">
      <c r="A231" s="21">
        <v>43361</v>
      </c>
      <c r="B231" s="6" t="str">
        <f>HYPERLINK("https://lmcc.net/","Lower Manhattan Cultural Council")</f>
        <v>Lower Manhattan Cultural Council</v>
      </c>
      <c r="C231" s="15" t="s">
        <v>14</v>
      </c>
      <c r="D231" s="6" t="str">
        <f>HYPERLINK("https://lmcc.net/resources/manhattan-arts-grants/creative-learning/","Creative Learning")</f>
        <v>Creative Learning</v>
      </c>
      <c r="E231" s="9" t="s">
        <v>730</v>
      </c>
      <c r="F231" s="44" t="s">
        <v>716</v>
      </c>
      <c r="G231" s="44"/>
      <c r="H231" s="19"/>
      <c r="I231" s="16" t="s">
        <v>732</v>
      </c>
    </row>
    <row r="232" spans="1:9" ht="114.75">
      <c r="A232" s="21">
        <v>43361</v>
      </c>
      <c r="B232" s="6" t="str">
        <f>HYPERLINK("https://lmcc.net/","Lower Manhattan Cultural Council")</f>
        <v>Lower Manhattan Cultural Council</v>
      </c>
      <c r="C232" s="15" t="s">
        <v>14</v>
      </c>
      <c r="D232" s="6" t="str">
        <f>HYPERLINK("https://lmcc.net/resources/manhattan-arts-grants/umez-arts-engagement/","UMEZ Arts Engagement")</f>
        <v>UMEZ Arts Engagement</v>
      </c>
      <c r="E232" s="9" t="s">
        <v>730</v>
      </c>
      <c r="F232" s="10" t="s">
        <v>716</v>
      </c>
      <c r="G232" s="10"/>
      <c r="H232" s="19"/>
      <c r="I232" s="16" t="s">
        <v>733</v>
      </c>
    </row>
    <row r="233" spans="1:9" ht="140.25">
      <c r="A233" s="5">
        <v>43361</v>
      </c>
      <c r="B233" s="6" t="str">
        <f>HYPERLINK("https://www.ensembletheaters.net/","Network of Ensemble Theaters")</f>
        <v>Network of Ensemble Theaters</v>
      </c>
      <c r="C233" s="49" t="s">
        <v>14</v>
      </c>
      <c r="D233" s="20" t="s">
        <v>868</v>
      </c>
      <c r="E233" s="9" t="s">
        <v>869</v>
      </c>
      <c r="F233" s="10" t="s">
        <v>833</v>
      </c>
      <c r="G233" s="14"/>
      <c r="H233" s="10"/>
      <c r="I233" s="16" t="s">
        <v>870</v>
      </c>
    </row>
    <row r="234" spans="1:9" ht="102">
      <c r="A234" s="5">
        <v>43362</v>
      </c>
      <c r="B234" s="6" t="str">
        <f>HYPERLINK("https://www.gf.org/","John Simon Guggenheim Memorial Foundation")</f>
        <v>John Simon Guggenheim Memorial Foundation</v>
      </c>
      <c r="C234" s="7" t="s">
        <v>14</v>
      </c>
      <c r="D234" s="8" t="s">
        <v>163</v>
      </c>
      <c r="E234" s="9" t="s">
        <v>10</v>
      </c>
      <c r="F234" s="10" t="s">
        <v>163</v>
      </c>
      <c r="G234" s="14"/>
      <c r="H234" s="14"/>
      <c r="I234" s="16" t="s">
        <v>256</v>
      </c>
    </row>
    <row r="235" spans="1:9" ht="204">
      <c r="A235" s="71">
        <v>43363</v>
      </c>
      <c r="B235" s="6" t="str">
        <f>HYPERLINK("neh.gov","National Endowment for the Humanities")</f>
        <v>National Endowment for the Humanities</v>
      </c>
      <c r="C235" s="24" t="s">
        <v>65</v>
      </c>
      <c r="D235" s="8" t="s">
        <v>792</v>
      </c>
      <c r="E235" s="9" t="s">
        <v>40</v>
      </c>
      <c r="F235" s="10" t="s">
        <v>788</v>
      </c>
      <c r="G235" s="44"/>
      <c r="H235" s="14"/>
      <c r="I235" s="47" t="s">
        <v>793</v>
      </c>
    </row>
    <row r="236" spans="1:9" ht="204">
      <c r="A236" s="5">
        <v>43363</v>
      </c>
      <c r="B236" s="6" t="str">
        <f>HYPERLINK("neh.gov","National Endowment for the Humanities")</f>
        <v>National Endowment for the Humanities</v>
      </c>
      <c r="C236" s="24" t="s">
        <v>65</v>
      </c>
      <c r="D236" s="8" t="s">
        <v>794</v>
      </c>
      <c r="E236" s="9" t="s">
        <v>40</v>
      </c>
      <c r="F236" s="44" t="s">
        <v>788</v>
      </c>
      <c r="G236" s="44"/>
      <c r="H236" s="44"/>
      <c r="I236" s="47" t="s">
        <v>793</v>
      </c>
    </row>
    <row r="237" spans="1:9" ht="140.25">
      <c r="A237" s="5">
        <v>43368</v>
      </c>
      <c r="B237" s="6" t="str">
        <f>HYPERLINK("neh.gov","National Endowment for the Humanities")</f>
        <v>National Endowment for the Humanities</v>
      </c>
      <c r="C237" s="15" t="s">
        <v>65</v>
      </c>
      <c r="D237" s="6" t="str">
        <f>HYPERLINK("https://grants.nih.gov/grants/guide/pa-files/PA-17-247.html","Implementation and Evaluation of New Health Information Technology (IT) Strategies for Collecting and Using Patient-Reported Outcome (PRO) Measures (U18)")</f>
        <v>Implementation and Evaluation of New Health Information Technology (IT) Strategies for Collecting and Using Patient-Reported Outcome (PRO) Measures (U18)</v>
      </c>
      <c r="E237" s="9" t="s">
        <v>60</v>
      </c>
      <c r="F237" s="44" t="s">
        <v>145</v>
      </c>
      <c r="G237" s="44"/>
      <c r="H237" s="10"/>
      <c r="I237" s="16" t="s">
        <v>146</v>
      </c>
    </row>
    <row r="238" spans="1:9" ht="114.75">
      <c r="A238" s="5">
        <v>43368</v>
      </c>
      <c r="B238" s="54" t="str">
        <f>HYPERLINK("https://www.nih.gov/","National Institutes of Health")</f>
        <v>National Institutes of Health</v>
      </c>
      <c r="C238" s="7" t="s">
        <v>65</v>
      </c>
      <c r="D238" s="23" t="str">
        <f>HYPERLINK("https://www.nigms.nih.gov/Research/Mechanisms/Pages/ProgramProjectGrants.aspx","P-Series")</f>
        <v>P-Series</v>
      </c>
      <c r="E238" s="9" t="s">
        <v>60</v>
      </c>
      <c r="F238" s="10" t="s">
        <v>785</v>
      </c>
      <c r="G238" s="44"/>
      <c r="H238" s="10"/>
      <c r="I238" s="47" t="s">
        <v>786</v>
      </c>
    </row>
    <row r="239" spans="1:9" ht="165.75">
      <c r="A239" s="5">
        <v>43368</v>
      </c>
      <c r="B239" s="54" t="str">
        <f>HYPERLINK("https://www.nih.gov/","National Institutes of Health")</f>
        <v>National Institutes of Health</v>
      </c>
      <c r="C239" s="15" t="s">
        <v>65</v>
      </c>
      <c r="D239" s="6" t="str">
        <f>HYPERLINK("https://www.nhlbi.nih.gov/grants-and-training/policies-and-guidelines/research-dissemination-and-implementation-r18-grants","Research Dissemination and Implementation (R18) Grants")</f>
        <v>Research Dissemination and Implementation (R18) Grants</v>
      </c>
      <c r="E239" s="9" t="s">
        <v>60</v>
      </c>
      <c r="F239" s="10" t="s">
        <v>947</v>
      </c>
      <c r="G239" s="14"/>
      <c r="H239" s="10"/>
      <c r="I239" s="16" t="s">
        <v>1056</v>
      </c>
    </row>
    <row r="240" spans="1:9" ht="127.5">
      <c r="A240" s="5">
        <v>43368</v>
      </c>
      <c r="B240" s="54" t="str">
        <f>HYPERLINK("https://www.nih.gov/","National Institutes of Health")</f>
        <v>National Institutes of Health</v>
      </c>
      <c r="C240" s="15" t="s">
        <v>65</v>
      </c>
      <c r="D240" s="6" t="str">
        <f>HYPERLINK("https://researchtraining.nih.gov/programs/research-education/R25","Research Education Program R25 Grants")</f>
        <v>Research Education Program R25 Grants</v>
      </c>
      <c r="E240" s="9" t="s">
        <v>60</v>
      </c>
      <c r="F240" s="10" t="s">
        <v>947</v>
      </c>
      <c r="G240" s="14"/>
      <c r="H240" s="10"/>
      <c r="I240" s="16" t="s">
        <v>1057</v>
      </c>
    </row>
    <row r="241" spans="1:9" ht="51">
      <c r="A241" s="5">
        <v>43368</v>
      </c>
      <c r="B241" s="8" t="str">
        <f>HYPERLINK("https://www.nsf.gov/","National Science Foundation")</f>
        <v>National Science Foundation</v>
      </c>
      <c r="C241" s="15" t="s">
        <v>65</v>
      </c>
      <c r="D241" s="6" t="str">
        <f>HYPERLINK("https://www.nsf.gov/funding/pgm_summ.jsp?pims_id=503570","Combinatorics")</f>
        <v>Combinatorics</v>
      </c>
      <c r="E241" s="9" t="s">
        <v>101</v>
      </c>
      <c r="F241" s="44" t="s">
        <v>947</v>
      </c>
      <c r="G241" s="44"/>
      <c r="H241" s="10"/>
      <c r="I241" s="16" t="s">
        <v>1152</v>
      </c>
    </row>
    <row r="242" spans="1:9" ht="51">
      <c r="A242" s="5">
        <v>43368</v>
      </c>
      <c r="B242" s="8" t="str">
        <f>HYPERLINK("https://www.nsf.gov/","National Science Foundation")</f>
        <v>National Science Foundation</v>
      </c>
      <c r="C242" s="7" t="s">
        <v>65</v>
      </c>
      <c r="D242" s="6" t="str">
        <f>HYPERLINK("https://www.nsf.gov/funding/pgm_summ.jsp?pims_id=5548","Foundations")</f>
        <v>Foundations</v>
      </c>
      <c r="E242" s="9" t="s">
        <v>101</v>
      </c>
      <c r="F242" s="10" t="s">
        <v>947</v>
      </c>
      <c r="G242" s="10"/>
      <c r="H242" s="10"/>
      <c r="I242" s="16" t="s">
        <v>1153</v>
      </c>
    </row>
    <row r="243" spans="1:9" ht="153">
      <c r="A243" s="5">
        <v>43368</v>
      </c>
      <c r="B243" s="24" t="s">
        <v>1283</v>
      </c>
      <c r="C243" s="15" t="s">
        <v>90</v>
      </c>
      <c r="D243" s="6" t="str">
        <f>HYPERLINK("https://www.jnj.com/wistem2d","WiSTEM2D Scholars")</f>
        <v>WiSTEM2D Scholars</v>
      </c>
      <c r="E243" s="9" t="s">
        <v>60</v>
      </c>
      <c r="F243" s="10" t="s">
        <v>1284</v>
      </c>
      <c r="G243" s="44" t="s">
        <v>341</v>
      </c>
      <c r="H243" s="10" t="s">
        <v>1285</v>
      </c>
      <c r="I243" s="16" t="s">
        <v>1286</v>
      </c>
    </row>
    <row r="244" spans="1:9" ht="153">
      <c r="A244" s="17">
        <v>43369</v>
      </c>
      <c r="B244" s="6" t="str">
        <f>HYPERLINK("https://www.acls.org/","American Council of Learned Societies")</f>
        <v>American Council of Learned Societies</v>
      </c>
      <c r="C244" s="24" t="s">
        <v>14</v>
      </c>
      <c r="D244" s="6" t="str">
        <f>HYPERLINK("https://www.acls.org/programs/acls/","ACLS Fellowships")</f>
        <v>ACLS Fellowships</v>
      </c>
      <c r="E244" s="9" t="s">
        <v>10</v>
      </c>
      <c r="F244" s="44" t="s">
        <v>163</v>
      </c>
      <c r="G244" s="44" t="s">
        <v>257</v>
      </c>
      <c r="H244" s="10" t="s">
        <v>258</v>
      </c>
      <c r="I244" s="16" t="s">
        <v>259</v>
      </c>
    </row>
    <row r="245" spans="1:9" ht="165.75">
      <c r="A245" s="5">
        <v>43369</v>
      </c>
      <c r="B245" s="6" t="str">
        <f>HYPERLINK("https://www.acls.org/","American Council of Learned Societies")</f>
        <v>American Council of Learned Societies</v>
      </c>
      <c r="C245" s="15" t="s">
        <v>14</v>
      </c>
      <c r="D245" s="6" t="str">
        <f>HYPERLINK("http://www.acls.org/programs/burkhardt/","Frederick Burkhardt Residential Fellowships for Recently Tenured Scholars")</f>
        <v>Frederick Burkhardt Residential Fellowships for Recently Tenured Scholars</v>
      </c>
      <c r="E245" s="9" t="s">
        <v>159</v>
      </c>
      <c r="F245" s="44" t="s">
        <v>367</v>
      </c>
      <c r="G245" s="14" t="s">
        <v>341</v>
      </c>
      <c r="H245" s="10" t="s">
        <v>423</v>
      </c>
      <c r="I245" s="16" t="s">
        <v>424</v>
      </c>
    </row>
    <row r="246" spans="1:9" ht="102">
      <c r="A246" s="5">
        <v>43370</v>
      </c>
      <c r="B246" s="6" t="str">
        <f>HYPERLINK("https://www.simonsfoundation.org/","Simons Foundation")</f>
        <v>Simons Foundation</v>
      </c>
      <c r="C246" s="15" t="s">
        <v>14</v>
      </c>
      <c r="D246" s="6" t="str">
        <f>HYPERLINK("https://www.simonsfoundation.org/mathematics-physical-sciences/simons-fellows/","Simons Fellows in Mathematics")</f>
        <v>Simons Fellows in Mathematics</v>
      </c>
      <c r="E246" s="9" t="s">
        <v>101</v>
      </c>
      <c r="F246" s="10" t="s">
        <v>670</v>
      </c>
      <c r="G246" s="14"/>
      <c r="H246" s="10" t="s">
        <v>678</v>
      </c>
      <c r="I246" s="16" t="s">
        <v>679</v>
      </c>
    </row>
    <row r="247" spans="1:9" ht="102">
      <c r="A247" s="5">
        <v>43370</v>
      </c>
      <c r="B247" s="6" t="str">
        <f>HYPERLINK("https://www.simonsfoundation.org/","Simons Foundation")</f>
        <v>Simons Foundation</v>
      </c>
      <c r="C247" s="15" t="s">
        <v>14</v>
      </c>
      <c r="D247" s="6" t="str">
        <f>HYPERLINK("https://www.simonsfoundation.org/mathematics-physical-sciences/simons-fellows/","Simons Fellows in Theoretical Physics")</f>
        <v>Simons Fellows in Theoretical Physics</v>
      </c>
      <c r="E247" s="9" t="s">
        <v>101</v>
      </c>
      <c r="F247" s="10" t="s">
        <v>670</v>
      </c>
      <c r="G247" s="14"/>
      <c r="H247" s="44" t="s">
        <v>680</v>
      </c>
      <c r="I247" s="16" t="s">
        <v>681</v>
      </c>
    </row>
    <row r="248" spans="1:9" ht="153">
      <c r="A248" s="5">
        <v>43371</v>
      </c>
      <c r="B248" s="6" t="str">
        <f>HYPERLINK("https://www.nypl.org/","New York Public Library")</f>
        <v>New York Public Library</v>
      </c>
      <c r="C248" s="15" t="s">
        <v>183</v>
      </c>
      <c r="D248" s="6" t="str">
        <f>HYPERLINK("https://www.nypl.org/help/about-nypl/fellowships-institutes/center-for-scholars-and-writers/fellowships-at-the-cullman-center","Fellowship for Scholars and Writers")</f>
        <v>Fellowship for Scholars and Writers</v>
      </c>
      <c r="E248" s="9" t="s">
        <v>159</v>
      </c>
      <c r="F248" s="22" t="s">
        <v>350</v>
      </c>
      <c r="G248" s="14"/>
      <c r="H248" s="10" t="s">
        <v>425</v>
      </c>
      <c r="I248" s="16" t="s">
        <v>426</v>
      </c>
    </row>
    <row r="249" spans="1:9" ht="191.25">
      <c r="A249" s="5">
        <v>43371</v>
      </c>
      <c r="B249" s="6" t="str">
        <f>HYPERLINK("https://sobp.org","Society of Biological Psychiatry")</f>
        <v>Society of Biological Psychiatry</v>
      </c>
      <c r="C249" s="15" t="s">
        <v>14</v>
      </c>
      <c r="D249" s="6" t="str">
        <f>HYPERLINK("https://sobp.org/travel-fellowship-award-early-career-investigator-domestic/","Travel Fellowship Award")</f>
        <v>Travel Fellowship Award</v>
      </c>
      <c r="E249" s="9" t="s">
        <v>1310</v>
      </c>
      <c r="F249" s="22" t="s">
        <v>1299</v>
      </c>
      <c r="G249" s="14" t="s">
        <v>50</v>
      </c>
      <c r="H249" s="19">
        <v>2000</v>
      </c>
      <c r="I249" s="16" t="s">
        <v>1311</v>
      </c>
    </row>
    <row r="250" spans="1:9" ht="89.25">
      <c r="A250" s="5">
        <v>43371</v>
      </c>
      <c r="B250" s="6" t="str">
        <f>HYPERLINK("http://scienceandsociety.columbia.edu/","Columbia Center for Science and Society")</f>
        <v>Columbia Center for Science and Society</v>
      </c>
      <c r="C250" s="15" t="s">
        <v>8</v>
      </c>
      <c r="D250" s="6" t="str">
        <f>HYPERLINK("http://scienceandsociety.columbia.edu/files/2018/08/2018_Course-Development_Call-for-Proposals_FINAL.pdf","Course Development in Science and Society")</f>
        <v>Course Development in Science and Society</v>
      </c>
      <c r="E250" s="9" t="s">
        <v>60</v>
      </c>
      <c r="F250" s="10"/>
      <c r="G250" s="14"/>
      <c r="H250" s="19">
        <v>3000</v>
      </c>
      <c r="I250" s="16" t="s">
        <v>1359</v>
      </c>
    </row>
    <row r="251" spans="1:9" ht="114.75">
      <c r="A251" s="5">
        <v>43373</v>
      </c>
      <c r="B251" s="6" t="str">
        <f>HYPERLINK("http://www.feminist-review-trust.com/","Feminist Review Trust")</f>
        <v>Feminist Review Trust</v>
      </c>
      <c r="C251" s="15" t="s">
        <v>14</v>
      </c>
      <c r="D251" s="8" t="s">
        <v>39</v>
      </c>
      <c r="E251" s="9" t="s">
        <v>40</v>
      </c>
      <c r="F251" s="10" t="s">
        <v>19</v>
      </c>
      <c r="G251" s="14"/>
      <c r="H251" s="10"/>
      <c r="I251" s="16" t="s">
        <v>41</v>
      </c>
    </row>
    <row r="252" spans="1:9" ht="153">
      <c r="A252" s="5">
        <v>43373</v>
      </c>
      <c r="B252" s="49" t="s">
        <v>89</v>
      </c>
      <c r="C252" s="49" t="s">
        <v>90</v>
      </c>
      <c r="D252" s="20" t="s">
        <v>91</v>
      </c>
      <c r="E252" s="9" t="s">
        <v>92</v>
      </c>
      <c r="F252" s="10" t="s">
        <v>19</v>
      </c>
      <c r="G252" s="10"/>
      <c r="H252" s="10"/>
      <c r="I252" s="16" t="s">
        <v>93</v>
      </c>
    </row>
    <row r="253" spans="1:9" ht="204">
      <c r="A253" s="71">
        <v>43373</v>
      </c>
      <c r="B253" s="6" t="str">
        <f>HYPERLINK("https://careyinstitute.org/","Carey Institute")</f>
        <v>Carey Institute</v>
      </c>
      <c r="C253" s="15" t="s">
        <v>14</v>
      </c>
      <c r="D253" s="23" t="str">
        <f>HYPERLINK("http://careyinstitute.org/programs/nonfiction/nonfiction-fellowship/","Logan Nonfiction Program")</f>
        <v>Logan Nonfiction Program</v>
      </c>
      <c r="E253" s="9" t="s">
        <v>10</v>
      </c>
      <c r="F253" s="10" t="s">
        <v>350</v>
      </c>
      <c r="G253" s="14"/>
      <c r="H253" s="10"/>
      <c r="I253" s="16" t="s">
        <v>508</v>
      </c>
    </row>
    <row r="254" spans="1:9" ht="63.75">
      <c r="A254" s="5">
        <v>43373</v>
      </c>
      <c r="B254" s="6" t="str">
        <f>HYPERLINK("http://www.apa.org/apf/","American Psychological Association")</f>
        <v>American Psychological Association</v>
      </c>
      <c r="C254" s="15" t="s">
        <v>14</v>
      </c>
      <c r="D254" s="8" t="s">
        <v>741</v>
      </c>
      <c r="E254" s="9" t="s">
        <v>105</v>
      </c>
      <c r="F254" s="10" t="s">
        <v>716</v>
      </c>
      <c r="G254" s="14"/>
      <c r="H254" s="19">
        <v>2000</v>
      </c>
      <c r="I254" s="16" t="s">
        <v>742</v>
      </c>
    </row>
    <row r="255" spans="1:9" ht="216.75">
      <c r="A255" s="5">
        <v>43374</v>
      </c>
      <c r="B255" s="6" t="str">
        <f>HYPERLINK("http://iris.isr.umich.edu/","Institute for Research on Innovation and Science at the University of Michigan")</f>
        <v>Institute for Research on Innovation and Science at the University of Michigan</v>
      </c>
      <c r="C255" s="15" t="s">
        <v>8</v>
      </c>
      <c r="D255" s="8" t="s">
        <v>52</v>
      </c>
      <c r="E255" s="9" t="s">
        <v>10</v>
      </c>
      <c r="F255" s="10" t="s">
        <v>19</v>
      </c>
      <c r="G255" s="14"/>
      <c r="H255" s="10" t="s">
        <v>53</v>
      </c>
      <c r="I255" s="16" t="s">
        <v>54</v>
      </c>
    </row>
    <row r="256" spans="1:9" ht="140.25">
      <c r="A256" s="5">
        <v>43374</v>
      </c>
      <c r="B256" s="30" t="str">
        <f>HYPERLINK("http://teachpsych.org/index.php","Society for the Teaching of Psychology")</f>
        <v>Society for the Teaching of Psychology</v>
      </c>
      <c r="C256" s="15" t="s">
        <v>14</v>
      </c>
      <c r="D256" s="6" t="str">
        <f>HYPERLINK("http://teachpsych.org/page-1599541","Conference Speaker Grant Program")</f>
        <v>Conference Speaker Grant Program</v>
      </c>
      <c r="E256" s="9" t="s">
        <v>132</v>
      </c>
      <c r="F256" s="22" t="s">
        <v>142</v>
      </c>
      <c r="G256" s="10"/>
      <c r="H256" s="19" t="s">
        <v>143</v>
      </c>
      <c r="I256" s="16" t="s">
        <v>144</v>
      </c>
    </row>
    <row r="257" spans="1:9" ht="191.25">
      <c r="A257" s="31">
        <v>43374</v>
      </c>
      <c r="B257" s="32" t="str">
        <f>HYPERLINK("https://hds.harvard.edu/home","Harvard University Divinity School")</f>
        <v>Harvard University Divinity School</v>
      </c>
      <c r="C257" s="59" t="s">
        <v>8</v>
      </c>
      <c r="D257" s="32" t="str">
        <f>HYPERLINK("https://wsrp.hds.harvard.edu/research-associates","Women's Studies in Religion Research Associates")</f>
        <v>Women's Studies in Religion Research Associates</v>
      </c>
      <c r="E257" s="34" t="s">
        <v>202</v>
      </c>
      <c r="F257" s="36" t="s">
        <v>163</v>
      </c>
      <c r="G257" s="36"/>
      <c r="H257" s="37">
        <v>60000</v>
      </c>
      <c r="I257" s="38" t="s">
        <v>203</v>
      </c>
    </row>
    <row r="258" spans="1:9" ht="76.5">
      <c r="A258" s="31">
        <v>43374</v>
      </c>
      <c r="B258" s="32" t="str">
        <f>HYPERLINK("baef.be","Beligian American Educational Foundation")</f>
        <v>Beligian American Educational Foundation</v>
      </c>
      <c r="C258" s="59" t="s">
        <v>14</v>
      </c>
      <c r="D258" s="32" t="str">
        <f>HYPERLINK("http://www.baef.be/documents/fellowships-for-us-citizens/study-res-fellow.-for-us-citizen-.xml?lang=en","Fellowships")</f>
        <v>Fellowships</v>
      </c>
      <c r="E258" s="34" t="s">
        <v>230</v>
      </c>
      <c r="F258" s="36" t="s">
        <v>163</v>
      </c>
      <c r="G258" s="36"/>
      <c r="H258" s="37">
        <v>32000</v>
      </c>
      <c r="I258" s="38" t="s">
        <v>231</v>
      </c>
    </row>
    <row r="259" spans="1:9" ht="216.75">
      <c r="A259" s="5">
        <v>43374</v>
      </c>
      <c r="B259" s="6" t="str">
        <f>HYPERLINK("http://societyhumanities.as.cornell.edu/","Society for the Humanities at Cornell University")</f>
        <v>Society for the Humanities at Cornell University</v>
      </c>
      <c r="C259" s="7" t="s">
        <v>8</v>
      </c>
      <c r="D259" s="6" t="str">
        <f>HYPERLINK("http://societyhumanities.as.cornell.edu/society-fellowships","Society Fellowships")</f>
        <v>Society Fellowships</v>
      </c>
      <c r="E259" s="9" t="s">
        <v>159</v>
      </c>
      <c r="F259" s="44" t="s">
        <v>350</v>
      </c>
      <c r="G259" s="44"/>
      <c r="H259" s="19">
        <v>50000</v>
      </c>
      <c r="I259" s="16" t="s">
        <v>427</v>
      </c>
    </row>
    <row r="260" spans="1:9" ht="191.25">
      <c r="A260" s="5">
        <v>43374</v>
      </c>
      <c r="B260" s="54" t="str">
        <f>HYPERLINK("http://www.harpofoundation.org","Harpo Foundation")</f>
        <v>Harpo Foundation</v>
      </c>
      <c r="C260" s="15" t="s">
        <v>14</v>
      </c>
      <c r="D260" s="6" t="str">
        <f>HYPERLINK("http://www.harpofoundation.org/apply/emerging-artist-fellowship/","Emerging Artists Residency Fellowship at the Santa Fe Art Institute")</f>
        <v>Emerging Artists Residency Fellowship at the Santa Fe Art Institute</v>
      </c>
      <c r="E260" s="9" t="s">
        <v>366</v>
      </c>
      <c r="F260" s="10" t="s">
        <v>350</v>
      </c>
      <c r="G260" s="44" t="s">
        <v>50</v>
      </c>
      <c r="H260" s="14" t="s">
        <v>473</v>
      </c>
      <c r="I260" s="16" t="s">
        <v>474</v>
      </c>
    </row>
    <row r="261" spans="1:9" ht="191.25">
      <c r="A261" s="5">
        <v>43374</v>
      </c>
      <c r="B261" s="23" t="str">
        <f>HYPERLINK("https://vermontstudiocenter.org","Vermont Studio Center")</f>
        <v>Vermont Studio Center</v>
      </c>
      <c r="C261" s="7" t="s">
        <v>14</v>
      </c>
      <c r="D261" s="6" t="str">
        <f>HYPERLINK("http://vermontstudiocenter.org/fees-and-financial-aid/","Fellowships")</f>
        <v>Fellowships</v>
      </c>
      <c r="E261" s="9" t="s">
        <v>366</v>
      </c>
      <c r="F261" s="22" t="s">
        <v>350</v>
      </c>
      <c r="G261" s="21"/>
      <c r="H261" s="10"/>
      <c r="I261" s="16" t="s">
        <v>475</v>
      </c>
    </row>
    <row r="262" spans="1:9" ht="178.5">
      <c r="A262" s="5">
        <v>43374</v>
      </c>
      <c r="B262" s="6" t="str">
        <f>HYPERLINK("https://kellogg.nd.edu/","Kellogg Institute, University of Notre Dame")</f>
        <v>Kellogg Institute, University of Notre Dame</v>
      </c>
      <c r="C262" s="15" t="s">
        <v>8</v>
      </c>
      <c r="D262" s="8" t="s">
        <v>626</v>
      </c>
      <c r="E262" s="9" t="s">
        <v>323</v>
      </c>
      <c r="F262" s="44" t="s">
        <v>367</v>
      </c>
      <c r="G262" s="44"/>
      <c r="H262" s="10" t="s">
        <v>627</v>
      </c>
      <c r="I262" s="16" t="s">
        <v>628</v>
      </c>
    </row>
    <row r="263" spans="1:9" ht="178.5">
      <c r="A263" s="31">
        <v>43374</v>
      </c>
      <c r="B263" s="32" t="str">
        <f>HYPERLINK("https://www.kettering.org/shared-learning/katherine-w-fanning-residency-journalism-democracy","Kettering Foundation")</f>
        <v>Kettering Foundation</v>
      </c>
      <c r="C263" s="59" t="s">
        <v>14</v>
      </c>
      <c r="D263" s="32" t="str">
        <f>HYPERLINK("https://www.kettering.org/shared-learning/katherine-w-fanning-residency-journalism-democracy","Katherine W. Fanning Residency in Journalism &amp; Democracy ")</f>
        <v xml:space="preserve">Katherine W. Fanning Residency in Journalism &amp; Democracy </v>
      </c>
      <c r="E263" s="34" t="s">
        <v>622</v>
      </c>
      <c r="F263" s="36" t="s">
        <v>367</v>
      </c>
      <c r="G263" s="36"/>
      <c r="H263" s="37" t="s">
        <v>642</v>
      </c>
      <c r="I263" s="38" t="s">
        <v>643</v>
      </c>
    </row>
    <row r="264" spans="1:9" ht="191.25">
      <c r="A264" s="5">
        <v>43374</v>
      </c>
      <c r="B264" s="6" t="str">
        <f>HYPERLINK("http://www.sah.org/","Society of Architectural Historians")</f>
        <v>Society of Architectural Historians</v>
      </c>
      <c r="C264" s="15" t="s">
        <v>14</v>
      </c>
      <c r="D264" s="8" t="s">
        <v>686</v>
      </c>
      <c r="E264" s="9" t="s">
        <v>177</v>
      </c>
      <c r="F264" s="10" t="s">
        <v>687</v>
      </c>
      <c r="G264" s="10" t="s">
        <v>50</v>
      </c>
      <c r="H264" s="10"/>
      <c r="I264" s="16" t="s">
        <v>688</v>
      </c>
    </row>
    <row r="265" spans="1:9" ht="89.25">
      <c r="A265" s="5">
        <v>43374</v>
      </c>
      <c r="B265" s="6" t="str">
        <f>HYPERLINK("http://researchfellowships.americancouncils.org/","American Councils Research Fellowships")</f>
        <v>American Councils Research Fellowships</v>
      </c>
      <c r="C265" s="7" t="s">
        <v>65</v>
      </c>
      <c r="D265" s="23" t="str">
        <f>HYPERLINK("http://researchfellowships.americancouncils.org/researchscholar","Title VIII Research Scholars Program")</f>
        <v>Title VIII Research Scholars Program</v>
      </c>
      <c r="E265" s="9" t="s">
        <v>563</v>
      </c>
      <c r="F265" s="10" t="s">
        <v>711</v>
      </c>
      <c r="G265" s="14"/>
      <c r="H265" s="10" t="s">
        <v>712</v>
      </c>
      <c r="I265" s="16" t="s">
        <v>713</v>
      </c>
    </row>
    <row r="266" spans="1:9" ht="229.5">
      <c r="A266" s="17">
        <v>43374</v>
      </c>
      <c r="B266" s="6" t="str">
        <f>HYPERLINK("https://grri.nd.edu/international","University of Notre Dame, Center for the Study of Religion and Society, Global Religion Research Inititative ")</f>
        <v xml:space="preserve">University of Notre Dame, Center for the Study of Religion and Society, Global Religion Research Inititative </v>
      </c>
      <c r="C266" s="7" t="s">
        <v>8</v>
      </c>
      <c r="D266" s="6" t="str">
        <f>HYPERLINK("https://grri.nd.edu/international","Collaboration Research Grants")</f>
        <v>Collaboration Research Grants</v>
      </c>
      <c r="E266" s="9" t="s">
        <v>767</v>
      </c>
      <c r="F266" s="25" t="s">
        <v>768</v>
      </c>
      <c r="G266" s="25"/>
      <c r="H266" s="14" t="s">
        <v>769</v>
      </c>
      <c r="I266" s="16" t="s">
        <v>770</v>
      </c>
    </row>
    <row r="267" spans="1:9" ht="102">
      <c r="A267" s="5">
        <v>43374</v>
      </c>
      <c r="B267" s="6" t="str">
        <f>HYPERLINK("http://www.asian-studies.org/","Association for Asian Studies")</f>
        <v>Association for Asian Studies</v>
      </c>
      <c r="C267" s="7" t="s">
        <v>14</v>
      </c>
      <c r="D267" s="6" t="str">
        <f>HYPERLINK("http://www.asian-studies.org/Grants-and-Awards/NEAC-Japan","AAS Northeast Asia Council Japan Studies Grants")</f>
        <v>AAS Northeast Asia Council Japan Studies Grants</v>
      </c>
      <c r="E267" s="9" t="s">
        <v>559</v>
      </c>
      <c r="F267" s="10" t="s">
        <v>788</v>
      </c>
      <c r="G267" s="10"/>
      <c r="H267" s="10" t="s">
        <v>801</v>
      </c>
      <c r="I267" s="16" t="s">
        <v>802</v>
      </c>
    </row>
    <row r="268" spans="1:9" ht="127.5">
      <c r="A268" s="17">
        <v>43374</v>
      </c>
      <c r="B268" s="6" t="str">
        <f>HYPERLINK("http://www.kressfoundation.org/grants/default.aspx?id=150","Kress Foundation")</f>
        <v>Kress Foundation</v>
      </c>
      <c r="C268" s="7" t="s">
        <v>14</v>
      </c>
      <c r="D268" s="8" t="s">
        <v>852</v>
      </c>
      <c r="E268" s="9" t="s">
        <v>40</v>
      </c>
      <c r="F268" s="25" t="s">
        <v>833</v>
      </c>
      <c r="G268" s="25"/>
      <c r="H268" s="10"/>
      <c r="I268" s="16" t="s">
        <v>853</v>
      </c>
    </row>
    <row r="269" spans="1:9" ht="165.75">
      <c r="A269" s="5">
        <v>43374</v>
      </c>
      <c r="B269" s="6" t="str">
        <f>HYPERLINK("https://humanitiesny.org/","Humanities New York")</f>
        <v>Humanities New York</v>
      </c>
      <c r="C269" s="15" t="s">
        <v>65</v>
      </c>
      <c r="D269" s="6" t="str">
        <f>HYPERLINK("http://humanitiesny.org/our-work/grants/","Action Grants")</f>
        <v>Action Grants</v>
      </c>
      <c r="E269" s="9" t="s">
        <v>40</v>
      </c>
      <c r="F269" s="10" t="s">
        <v>920</v>
      </c>
      <c r="G269" s="14"/>
      <c r="H269" s="55" t="s">
        <v>921</v>
      </c>
      <c r="I269" s="16" t="s">
        <v>922</v>
      </c>
    </row>
    <row r="270" spans="1:9" ht="204">
      <c r="A270" s="17">
        <v>43374</v>
      </c>
      <c r="B270" s="6" t="str">
        <f>HYPERLINK("http://www.kressfoundation.org","Kress Foundation")</f>
        <v>Kress Foundation</v>
      </c>
      <c r="C270" s="15" t="s">
        <v>14</v>
      </c>
      <c r="D270" s="23" t="str">
        <f>HYPERLINK("http://www.kressfoundation.org/grants/default.aspx?id=138","Conservation Grant Program")</f>
        <v>Conservation Grant Program</v>
      </c>
      <c r="E270" s="9" t="s">
        <v>177</v>
      </c>
      <c r="F270" s="25" t="s">
        <v>932</v>
      </c>
      <c r="G270" s="25"/>
      <c r="H270" s="44"/>
      <c r="I270" s="16" t="s">
        <v>933</v>
      </c>
    </row>
    <row r="271" spans="1:9" ht="191.25">
      <c r="A271" s="5">
        <v>43374</v>
      </c>
      <c r="B271" s="54" t="str">
        <f>HYPERLINK("https://www.grammymuseum.org","Grammy Museum")</f>
        <v>Grammy Museum</v>
      </c>
      <c r="C271" s="7" t="s">
        <v>14</v>
      </c>
      <c r="D271" s="23" t="str">
        <f>HYPERLINK("https://www.grammymuseum.org/programs/grants-program","Music Research and Music Preservation")</f>
        <v>Music Research and Music Preservation</v>
      </c>
      <c r="E271" s="9" t="s">
        <v>40</v>
      </c>
      <c r="F271" s="10" t="s">
        <v>947</v>
      </c>
      <c r="G271" s="14"/>
      <c r="H271" s="10"/>
      <c r="I271" s="16" t="s">
        <v>963</v>
      </c>
    </row>
    <row r="272" spans="1:9" ht="102">
      <c r="A272" s="5">
        <v>43374</v>
      </c>
      <c r="B272" s="6" t="str">
        <f>HYPERLINK("http://www.asian-studies.org/","Association for Asian Studies")</f>
        <v>Association for Asian Studies</v>
      </c>
      <c r="C272" s="13" t="s">
        <v>14</v>
      </c>
      <c r="D272" s="6" t="str">
        <f>HYPERLINK("http://www.asian-studies.org/Grants-and-Awards/NEAC-Korea","AAS Northeast Asia Council Korean Studies Grants")</f>
        <v>AAS Northeast Asia Council Korean Studies Grants</v>
      </c>
      <c r="E272" s="9" t="s">
        <v>559</v>
      </c>
      <c r="F272" s="10" t="s">
        <v>947</v>
      </c>
      <c r="G272" s="44"/>
      <c r="H272" s="44" t="s">
        <v>1009</v>
      </c>
      <c r="I272" s="16" t="s">
        <v>1010</v>
      </c>
    </row>
    <row r="273" spans="1:9" ht="357">
      <c r="A273" s="5">
        <v>43374</v>
      </c>
      <c r="B273" s="6" t="str">
        <f>HYPERLINK("https://www.srs.org/","Scoliosis Research Society")</f>
        <v>Scoliosis Research Society</v>
      </c>
      <c r="C273" s="7" t="s">
        <v>14</v>
      </c>
      <c r="D273" s="6" t="str">
        <f>HYPERLINK("http://www.srs.org/professionals/research-and-journal/research-grants","Research Grants")</f>
        <v>Research Grants</v>
      </c>
      <c r="E273" s="9" t="s">
        <v>60</v>
      </c>
      <c r="F273" s="25" t="s">
        <v>947</v>
      </c>
      <c r="G273" s="25"/>
      <c r="H273" s="44" t="s">
        <v>1058</v>
      </c>
      <c r="I273" s="16" t="s">
        <v>1059</v>
      </c>
    </row>
    <row r="274" spans="1:9" ht="395.25">
      <c r="A274" s="5">
        <v>43374</v>
      </c>
      <c r="B274" s="8" t="str">
        <f>HYPERLINK("https://www.nsf.gov/","National Science Foundation")</f>
        <v>National Science Foundation</v>
      </c>
      <c r="C274" s="15" t="s">
        <v>65</v>
      </c>
      <c r="D274" s="6" t="str">
        <f>HYPERLINK("https://www.nsf.gov/pubs/2018/nsf18561/nsf18561.htm","Division of Chemistry")</f>
        <v>Division of Chemistry</v>
      </c>
      <c r="E274" s="9" t="s">
        <v>80</v>
      </c>
      <c r="F274" s="10" t="s">
        <v>980</v>
      </c>
      <c r="G274" s="14"/>
      <c r="H274" s="14"/>
      <c r="I274" s="16" t="s">
        <v>1110</v>
      </c>
    </row>
    <row r="275" spans="1:9" ht="127.5">
      <c r="A275" s="71">
        <v>43374</v>
      </c>
      <c r="B275" s="6" t="str">
        <f>HYPERLINK("https://pcaaca.org/","Popular Culture Association")</f>
        <v>Popular Culture Association</v>
      </c>
      <c r="C275" s="24" t="s">
        <v>14</v>
      </c>
      <c r="D275" s="6" t="str">
        <f>HYPERLINK("https://pcaaca.org/resources/applying-pca-endowment-travel-grants","Endowment Travel Grants")</f>
        <v>Endowment Travel Grants</v>
      </c>
      <c r="E275" s="22" t="s">
        <v>10</v>
      </c>
      <c r="F275" s="44" t="s">
        <v>1327</v>
      </c>
      <c r="G275" s="44"/>
      <c r="H275" s="44" t="s">
        <v>1328</v>
      </c>
      <c r="I275" s="47" t="s">
        <v>1329</v>
      </c>
    </row>
    <row r="276" spans="1:9" ht="114.75">
      <c r="A276" s="5">
        <v>43375</v>
      </c>
      <c r="B276" s="6" t="str">
        <f>HYPERLINK("https://www.wilsoncenter.org/","Wilson Center")</f>
        <v>Wilson Center</v>
      </c>
      <c r="C276" s="7" t="s">
        <v>14</v>
      </c>
      <c r="D276" s="6" t="str">
        <f>HYPERLINK("https://www.wilsoncenter.org/fellowship-application-guidelines","Fellowships")</f>
        <v>Fellowships</v>
      </c>
      <c r="E276" s="9" t="s">
        <v>10</v>
      </c>
      <c r="F276" s="10" t="s">
        <v>350</v>
      </c>
      <c r="G276" s="10"/>
      <c r="H276" s="44" t="s">
        <v>509</v>
      </c>
      <c r="I276" s="16" t="s">
        <v>510</v>
      </c>
    </row>
    <row r="277" spans="1:9" ht="102">
      <c r="A277" s="5">
        <v>43376</v>
      </c>
      <c r="B277" s="6" t="str">
        <f>HYPERLINK("https://www.nationalgeographic.org","National Geographic Society")</f>
        <v>National Geographic Society</v>
      </c>
      <c r="C277" s="7" t="s">
        <v>14</v>
      </c>
      <c r="D277" s="24" t="s">
        <v>879</v>
      </c>
      <c r="E277" s="9" t="s">
        <v>10</v>
      </c>
      <c r="F277" s="22" t="s">
        <v>833</v>
      </c>
      <c r="G277" s="14"/>
      <c r="H277" s="14"/>
      <c r="I277" s="16" t="s">
        <v>880</v>
      </c>
    </row>
    <row r="278" spans="1:9" ht="344.25">
      <c r="A278" s="5">
        <v>43376</v>
      </c>
      <c r="B278" s="8" t="str">
        <f>HYPERLINK("https://www.nsf.gov/","National Science Foundation")</f>
        <v>National Science Foundation</v>
      </c>
      <c r="C278" s="15" t="s">
        <v>65</v>
      </c>
      <c r="D278" s="8" t="s">
        <v>1154</v>
      </c>
      <c r="E278" s="9" t="s">
        <v>101</v>
      </c>
      <c r="F278" s="44" t="s">
        <v>947</v>
      </c>
      <c r="G278" s="44"/>
      <c r="H278" s="10"/>
      <c r="I278" s="16" t="s">
        <v>1155</v>
      </c>
    </row>
    <row r="279" spans="1:9" ht="102">
      <c r="A279" s="5">
        <v>43376</v>
      </c>
      <c r="B279" s="6" t="str">
        <f>HYPERLINK("https://www.simonsfoundation.org/","Simons Foundation")</f>
        <v>Simons Foundation</v>
      </c>
      <c r="C279" s="7" t="s">
        <v>14</v>
      </c>
      <c r="D279" s="6" t="str">
        <f>HYPERLINK("https://www.simonsfoundation.org/grant/simons-collaborations-in-mathematics-and-the-physical-sciences/","Simons Collaborations in Mathematics and Physical Science")</f>
        <v>Simons Collaborations in Mathematics and Physical Science</v>
      </c>
      <c r="E279" s="9" t="s">
        <v>101</v>
      </c>
      <c r="F279" s="10" t="s">
        <v>947</v>
      </c>
      <c r="G279" s="44"/>
      <c r="H279" s="10" t="s">
        <v>1156</v>
      </c>
      <c r="I279" s="16" t="s">
        <v>1157</v>
      </c>
    </row>
    <row r="280" spans="1:9" ht="127.5">
      <c r="A280" s="5">
        <v>43378</v>
      </c>
      <c r="B280" s="6" t="str">
        <f>HYPERLINK("http://shc.stanford.edu/","Stanford Humanities Center")</f>
        <v>Stanford Humanities Center</v>
      </c>
      <c r="C280" s="7" t="s">
        <v>8</v>
      </c>
      <c r="D280" s="8" t="s">
        <v>428</v>
      </c>
      <c r="E280" s="9" t="s">
        <v>159</v>
      </c>
      <c r="F280" s="10" t="s">
        <v>350</v>
      </c>
      <c r="G280" s="44"/>
      <c r="H280" s="44" t="s">
        <v>429</v>
      </c>
      <c r="I280" s="16" t="s">
        <v>430</v>
      </c>
    </row>
    <row r="281" spans="1:9" ht="153">
      <c r="A281" s="17">
        <v>43378</v>
      </c>
      <c r="B281" s="6" t="str">
        <f>HYPERLINK("http://www.americanacademy.de","American Academy in Berlin")</f>
        <v>American Academy in Berlin</v>
      </c>
      <c r="C281" s="7" t="s">
        <v>8</v>
      </c>
      <c r="D281" s="8" t="s">
        <v>511</v>
      </c>
      <c r="E281" s="9" t="s">
        <v>10</v>
      </c>
      <c r="F281" s="44" t="s">
        <v>350</v>
      </c>
      <c r="G281" s="44"/>
      <c r="H281" s="10" t="s">
        <v>512</v>
      </c>
      <c r="I281" s="16" t="s">
        <v>259</v>
      </c>
    </row>
    <row r="282" spans="1:9" ht="63.75">
      <c r="A282" s="5">
        <v>43378</v>
      </c>
      <c r="B282" s="6" t="str">
        <f>HYPERLINK("https://www.nih.gov/","National Institutes of Health")</f>
        <v>National Institutes of Health</v>
      </c>
      <c r="C282" s="7" t="s">
        <v>65</v>
      </c>
      <c r="D282" s="6" t="str">
        <f>HYPERLINK("https://grants.nih.gov/grants/funding/r01.htm","R01 Research Grants")</f>
        <v>R01 Research Grants</v>
      </c>
      <c r="E282" s="9" t="s">
        <v>60</v>
      </c>
      <c r="F282" s="44" t="s">
        <v>947</v>
      </c>
      <c r="G282" s="44"/>
      <c r="H282" s="10" t="s">
        <v>694</v>
      </c>
      <c r="I282" s="16" t="s">
        <v>1060</v>
      </c>
    </row>
    <row r="283" spans="1:9" ht="178.5">
      <c r="A283" s="5">
        <v>43379</v>
      </c>
      <c r="B283" s="6" t="str">
        <f>HYPERLINK("https://www.obama.org/","Obama Foundation")</f>
        <v>Obama Foundation</v>
      </c>
      <c r="C283" s="7" t="s">
        <v>14</v>
      </c>
      <c r="D283" s="8" t="s">
        <v>163</v>
      </c>
      <c r="E283" s="9" t="s">
        <v>10</v>
      </c>
      <c r="F283" s="10" t="s">
        <v>163</v>
      </c>
      <c r="G283" s="10"/>
      <c r="H283" s="44" t="s">
        <v>260</v>
      </c>
      <c r="I283" s="16" t="s">
        <v>261</v>
      </c>
    </row>
    <row r="284" spans="1:9" ht="178.5">
      <c r="A284" s="21">
        <v>43381</v>
      </c>
      <c r="B284" s="6" t="str">
        <f>HYPERLINK("https://www.srf.org/","Smith Richardson Foundation")</f>
        <v>Smith Richardson Foundation</v>
      </c>
      <c r="C284" s="15" t="s">
        <v>14</v>
      </c>
      <c r="D284" s="6" t="str">
        <f>HYPERLINK("https://www.srf.org/programs/international-security-foreign-policy/world-politics-statecraft-fellowship/","World Politics and Statecraft Fellowship")</f>
        <v>World Politics and Statecraft Fellowship</v>
      </c>
      <c r="E284" s="9" t="s">
        <v>323</v>
      </c>
      <c r="F284" s="10" t="s">
        <v>163</v>
      </c>
      <c r="G284" s="10"/>
      <c r="H284" s="19">
        <v>7500</v>
      </c>
      <c r="I284" s="16" t="s">
        <v>324</v>
      </c>
    </row>
    <row r="285" spans="1:9" ht="255">
      <c r="A285" s="71">
        <v>43381</v>
      </c>
      <c r="B285" s="6" t="str">
        <f>HYPERLINK("https://www.microsoft.com/en-us/","Microsoft and National Geographic")</f>
        <v>Microsoft and National Geographic</v>
      </c>
      <c r="C285" s="15" t="s">
        <v>14</v>
      </c>
      <c r="D285" s="6" t="str">
        <f>HYPERLINK("https://www.microsoft.com/en-us/aiforearth/grants.aspx","AI for Earth")</f>
        <v>AI for Earth</v>
      </c>
      <c r="E285" s="9" t="s">
        <v>1124</v>
      </c>
      <c r="F285" s="10" t="s">
        <v>947</v>
      </c>
      <c r="G285" s="10"/>
      <c r="H285" s="14" t="s">
        <v>1125</v>
      </c>
      <c r="I285" s="16" t="s">
        <v>1126</v>
      </c>
    </row>
    <row r="286" spans="1:9" ht="216.75">
      <c r="A286" s="5">
        <v>43382</v>
      </c>
      <c r="B286" s="6" t="str">
        <f>HYPERLINK("nea.gov","National Endowment for the Arts")</f>
        <v>National Endowment for the Arts</v>
      </c>
      <c r="C286" s="49" t="s">
        <v>65</v>
      </c>
      <c r="D286" s="20" t="s">
        <v>965</v>
      </c>
      <c r="E286" s="9" t="s">
        <v>49</v>
      </c>
      <c r="F286" s="10" t="s">
        <v>947</v>
      </c>
      <c r="G286" s="14"/>
      <c r="H286" s="10" t="s">
        <v>966</v>
      </c>
      <c r="I286" s="16" t="s">
        <v>967</v>
      </c>
    </row>
    <row r="287" spans="1:9" ht="191.25">
      <c r="A287" s="5">
        <v>43383</v>
      </c>
      <c r="B287" s="6" t="str">
        <f>HYPERLINK("nsf.gov","National Science Foundation")</f>
        <v>National Science Foundation</v>
      </c>
      <c r="C287" s="15" t="s">
        <v>65</v>
      </c>
      <c r="D287" s="23" t="str">
        <f>HYPERLINK("https://www.nsf.gov/publications/pub_summ.jsp?ods_key=nsf16584","Improving Undergraduate STEM Education: Pathways into Geoscience")</f>
        <v>Improving Undergraduate STEM Education: Pathways into Geoscience</v>
      </c>
      <c r="E287" s="9" t="s">
        <v>76</v>
      </c>
      <c r="F287" s="10" t="s">
        <v>757</v>
      </c>
      <c r="G287" s="14"/>
      <c r="H287" s="10"/>
      <c r="I287" s="16" t="s">
        <v>758</v>
      </c>
    </row>
    <row r="288" spans="1:9" ht="51">
      <c r="A288" s="5">
        <v>43383</v>
      </c>
      <c r="B288" s="6" t="str">
        <f>HYPERLINK("http://systemsforaction.org/","Systems for Action")</f>
        <v>Systems for Action</v>
      </c>
      <c r="C288" s="7" t="s">
        <v>14</v>
      </c>
      <c r="D288" s="6" t="str">
        <f>HYPERLINK("http://systemsforaction.org/funding-opportunities","Culture of Health Proposals")</f>
        <v>Culture of Health Proposals</v>
      </c>
      <c r="E288" s="9" t="s">
        <v>1129</v>
      </c>
      <c r="F288" s="10" t="s">
        <v>947</v>
      </c>
      <c r="G288" s="14"/>
      <c r="H288" s="19"/>
      <c r="I288" s="16" t="s">
        <v>1130</v>
      </c>
    </row>
    <row r="289" spans="1:9" ht="191.25">
      <c r="A289" s="21">
        <v>43385</v>
      </c>
      <c r="B289" s="32" t="str">
        <f>HYPERLINK("https://www.sas.ac.uk/","Univeristy of London, School of Advanced Study")</f>
        <v>Univeristy of London, School of Advanced Study</v>
      </c>
      <c r="C289" s="59" t="s">
        <v>8</v>
      </c>
      <c r="D289" s="24" t="s">
        <v>194</v>
      </c>
      <c r="E289" s="34" t="s">
        <v>15</v>
      </c>
      <c r="F289" s="36" t="s">
        <v>157</v>
      </c>
      <c r="G289" s="14"/>
      <c r="H289" s="19" t="s">
        <v>195</v>
      </c>
      <c r="I289" s="40" t="s">
        <v>196</v>
      </c>
    </row>
    <row r="290" spans="1:9" ht="204">
      <c r="A290" s="17">
        <v>43385</v>
      </c>
      <c r="B290" s="6" t="str">
        <f>HYPERLINK("https://www.opensocietyfoundations.org","Open Society Foundations ")</f>
        <v xml:space="preserve">Open Society Foundations </v>
      </c>
      <c r="C290" s="7" t="s">
        <v>14</v>
      </c>
      <c r="D290" s="8" t="s">
        <v>307</v>
      </c>
      <c r="E290" s="9" t="s">
        <v>124</v>
      </c>
      <c r="F290" s="10" t="s">
        <v>163</v>
      </c>
      <c r="G290" s="10"/>
      <c r="H290" s="14" t="s">
        <v>308</v>
      </c>
      <c r="I290" s="16" t="s">
        <v>309</v>
      </c>
    </row>
    <row r="291" spans="1:9" ht="204">
      <c r="A291" s="5">
        <v>43385</v>
      </c>
      <c r="B291" s="23" t="str">
        <f>HYPERLINK("https://www.spencer.org","Spencer Foundation")</f>
        <v>Spencer Foundation</v>
      </c>
      <c r="C291" s="7" t="s">
        <v>14</v>
      </c>
      <c r="D291" s="8" t="s">
        <v>975</v>
      </c>
      <c r="E291" s="9" t="s">
        <v>152</v>
      </c>
      <c r="F291" s="44" t="s">
        <v>947</v>
      </c>
      <c r="G291" s="12"/>
      <c r="H291" s="14" t="s">
        <v>976</v>
      </c>
      <c r="I291" s="16" t="s">
        <v>977</v>
      </c>
    </row>
    <row r="292" spans="1:9" ht="102">
      <c r="A292" s="31">
        <v>43388</v>
      </c>
      <c r="B292" s="32" t="str">
        <f>HYPERLINK("http://www.amylowell.org/index.html","Amy Lowell Scholarship Fund")</f>
        <v>Amy Lowell Scholarship Fund</v>
      </c>
      <c r="C292" s="59" t="s">
        <v>14</v>
      </c>
      <c r="D292" s="32" t="str">
        <f>HYPERLINK("http://www.amylowell.org/index.html","Amy Lowell Poetry Traveling Scholarship")</f>
        <v>Amy Lowell Poetry Traveling Scholarship</v>
      </c>
      <c r="E292" s="34" t="s">
        <v>221</v>
      </c>
      <c r="F292" s="36" t="s">
        <v>163</v>
      </c>
      <c r="G292" s="36"/>
      <c r="H292" s="37">
        <v>59000</v>
      </c>
      <c r="I292" s="38" t="s">
        <v>222</v>
      </c>
    </row>
    <row r="293" spans="1:9" ht="114.75">
      <c r="A293" s="31">
        <v>43388</v>
      </c>
      <c r="B293" s="32" t="str">
        <f>HYPERLINK("https://www.clarkart.edu/","Clark Art Institute")</f>
        <v>Clark Art Institute</v>
      </c>
      <c r="C293" s="59" t="s">
        <v>8</v>
      </c>
      <c r="D293" s="59" t="s">
        <v>348</v>
      </c>
      <c r="E293" s="34" t="s">
        <v>349</v>
      </c>
      <c r="F293" s="36" t="s">
        <v>350</v>
      </c>
      <c r="G293" s="36"/>
      <c r="H293" s="37" t="s">
        <v>351</v>
      </c>
      <c r="I293" s="38" t="s">
        <v>352</v>
      </c>
    </row>
    <row r="294" spans="1:9" ht="242.25">
      <c r="A294" s="5">
        <v>43388</v>
      </c>
      <c r="B294" s="6" t="str">
        <f>HYPERLINK("https://www.nga.gov/index.html","National Gallery of Art")</f>
        <v>National Gallery of Art</v>
      </c>
      <c r="C294" s="49" t="s">
        <v>183</v>
      </c>
      <c r="D294" s="20" t="s">
        <v>362</v>
      </c>
      <c r="E294" s="9" t="s">
        <v>177</v>
      </c>
      <c r="F294" s="44" t="s">
        <v>350</v>
      </c>
      <c r="G294" s="44" t="s">
        <v>356</v>
      </c>
      <c r="H294" s="10" t="s">
        <v>363</v>
      </c>
      <c r="I294" s="16" t="s">
        <v>364</v>
      </c>
    </row>
    <row r="295" spans="1:9" ht="165.75">
      <c r="A295" s="5">
        <v>43388</v>
      </c>
      <c r="B295" s="6" t="str">
        <f>HYPERLINK("https://www.hs.ias.edu/","Institute for Advanced Study (IAS)")</f>
        <v>Institute for Advanced Study (IAS)</v>
      </c>
      <c r="C295" s="59" t="s">
        <v>8</v>
      </c>
      <c r="D295" s="6" t="str">
        <f>HYPERLINK("https://www.hs.ias.edu/mem_announcement","School of Historical Studies Membership")</f>
        <v>School of Historical Studies Membership</v>
      </c>
      <c r="E295" s="9" t="s">
        <v>15</v>
      </c>
      <c r="F295" s="10" t="s">
        <v>350</v>
      </c>
      <c r="G295" s="14"/>
      <c r="H295" s="10" t="s">
        <v>379</v>
      </c>
      <c r="I295" s="16" t="s">
        <v>380</v>
      </c>
    </row>
    <row r="296" spans="1:9" ht="140.25">
      <c r="A296" s="5">
        <v>43388</v>
      </c>
      <c r="B296" s="6" t="str">
        <f>HYPERLINK("http://artomi.org/","Art Omi")</f>
        <v>Art Omi</v>
      </c>
      <c r="C296" s="7" t="s">
        <v>14</v>
      </c>
      <c r="D296" s="6" t="str">
        <f>HYPERLINK("http://artomi.org/residencies/art","Art Omi: Artists Residency")</f>
        <v>Art Omi: Artists Residency</v>
      </c>
      <c r="E296" s="9" t="s">
        <v>487</v>
      </c>
      <c r="F296" s="25" t="s">
        <v>350</v>
      </c>
      <c r="G296" s="25" t="s">
        <v>488</v>
      </c>
      <c r="H296" s="14" t="s">
        <v>481</v>
      </c>
      <c r="I296" s="16" t="s">
        <v>489</v>
      </c>
    </row>
    <row r="297" spans="1:9" ht="140.25">
      <c r="A297" s="5">
        <v>43388</v>
      </c>
      <c r="B297" s="6" t="str">
        <f>HYPERLINK("http://artomi.org/","Art Omi")</f>
        <v>Art Omi</v>
      </c>
      <c r="C297" s="7" t="s">
        <v>14</v>
      </c>
      <c r="D297" s="6" t="str">
        <f>HYPERLINK("http://artomi.org/residencies/writers","Art Omi: Writers Residency")</f>
        <v>Art Omi: Writers Residency</v>
      </c>
      <c r="E297" s="9" t="s">
        <v>490</v>
      </c>
      <c r="F297" s="25" t="s">
        <v>350</v>
      </c>
      <c r="G297" s="25"/>
      <c r="H297" s="10" t="s">
        <v>481</v>
      </c>
      <c r="I297" s="16" t="s">
        <v>491</v>
      </c>
    </row>
    <row r="298" spans="1:9" ht="76.5">
      <c r="A298" s="5">
        <v>43388</v>
      </c>
      <c r="B298" s="6" t="str">
        <f>HYPERLINK("https://www.ned.org/","National Endowment for Democracy")</f>
        <v>National Endowment for Democracy</v>
      </c>
      <c r="C298" s="7" t="s">
        <v>14</v>
      </c>
      <c r="D298" s="23" t="str">
        <f>HYPERLINK("https://www.ned.org/fellowships/reagan-fascell-democracy-fellows-program/","Reagan-Fascell Democracy Fellowship")</f>
        <v>Reagan-Fascell Democracy Fellowship</v>
      </c>
      <c r="E298" s="9" t="s">
        <v>323</v>
      </c>
      <c r="F298" s="10" t="s">
        <v>350</v>
      </c>
      <c r="G298" s="10"/>
      <c r="H298" s="14"/>
      <c r="I298" s="16" t="s">
        <v>629</v>
      </c>
    </row>
    <row r="299" spans="1:9" ht="51">
      <c r="A299" s="31">
        <v>43388</v>
      </c>
      <c r="B299" s="32" t="str">
        <f>HYPERLINK("http://www.cckf.org.tw/en","Chiang Ching-kuo Foundation for International Scholarly Exchange")</f>
        <v>Chiang Ching-kuo Foundation for International Scholarly Exchange</v>
      </c>
      <c r="C299" s="59" t="s">
        <v>14</v>
      </c>
      <c r="D299" s="32" t="str">
        <f>HYPERLINK("http://www.cckf.org.tw/en/programs/american/scholar","Scholar Grants")</f>
        <v>Scholar Grants</v>
      </c>
      <c r="E299" s="34" t="s">
        <v>227</v>
      </c>
      <c r="F299" s="36" t="s">
        <v>720</v>
      </c>
      <c r="G299" s="36"/>
      <c r="H299" s="37" t="s">
        <v>728</v>
      </c>
      <c r="I299" s="38" t="s">
        <v>729</v>
      </c>
    </row>
    <row r="300" spans="1:9" ht="178.5">
      <c r="A300" s="76">
        <v>43388</v>
      </c>
      <c r="B300" s="77" t="str">
        <f>HYPERLINK("https://www.ias.edu/","Institute for Advanced Study (IAS)")</f>
        <v>Institute for Advanced Study (IAS)</v>
      </c>
      <c r="C300" s="82" t="s">
        <v>8</v>
      </c>
      <c r="D300" s="77" t="str">
        <f>HYPERLINK("https://www.hs.ias.edu/instructions","School of Historical Studies")</f>
        <v>School of Historical Studies</v>
      </c>
      <c r="E300" s="78" t="s">
        <v>15</v>
      </c>
      <c r="F300" s="79" t="s">
        <v>947</v>
      </c>
      <c r="G300" s="80"/>
      <c r="H300" s="79" t="s">
        <v>379</v>
      </c>
      <c r="I300" s="81" t="s">
        <v>948</v>
      </c>
    </row>
    <row r="301" spans="1:9" ht="89.25">
      <c r="A301" s="5">
        <v>43388</v>
      </c>
      <c r="B301" s="6" t="str">
        <f>HYPERLINK("https://thomafoundation.org","Thoma Foundation")</f>
        <v>Thoma Foundation</v>
      </c>
      <c r="C301" s="15" t="s">
        <v>14</v>
      </c>
      <c r="D301" s="6" t="str">
        <f>HYPERLINK("https://thomafoundation.org/announcing-the-marilynn-thoma-fellowship-in-spanish-colonial-art/","Marilyn Thoma Fellowship in Spanish Colonial Art")</f>
        <v>Marilyn Thoma Fellowship in Spanish Colonial Art</v>
      </c>
      <c r="E301" s="9" t="s">
        <v>954</v>
      </c>
      <c r="F301" s="10" t="s">
        <v>947</v>
      </c>
      <c r="G301" s="44" t="s">
        <v>955</v>
      </c>
      <c r="H301" s="10" t="s">
        <v>956</v>
      </c>
      <c r="I301" s="16" t="s">
        <v>957</v>
      </c>
    </row>
    <row r="302" spans="1:9" ht="89.25">
      <c r="A302" s="71">
        <v>43388</v>
      </c>
      <c r="B302" s="6" t="str">
        <f>HYPERLINK("http://www.cckf.org/","Chiang Ching-kuo Foundation for International Scholarly Exchange")</f>
        <v>Chiang Ching-kuo Foundation for International Scholarly Exchange</v>
      </c>
      <c r="C302" s="7" t="s">
        <v>14</v>
      </c>
      <c r="D302" s="8" t="s">
        <v>151</v>
      </c>
      <c r="E302" s="9" t="s">
        <v>10</v>
      </c>
      <c r="F302" s="10" t="s">
        <v>980</v>
      </c>
      <c r="G302" s="14"/>
      <c r="H302" s="44"/>
      <c r="I302" s="16" t="s">
        <v>998</v>
      </c>
    </row>
    <row r="303" spans="1:9" ht="114.75">
      <c r="A303" s="71">
        <v>43389</v>
      </c>
      <c r="B303" s="6" t="str">
        <f>HYPERLINK("https://ndias.nd.edu/","Notre Dame Institute for Advanced Study")</f>
        <v>Notre Dame Institute for Advanced Study</v>
      </c>
      <c r="C303" s="24" t="s">
        <v>8</v>
      </c>
      <c r="D303" s="8" t="s">
        <v>513</v>
      </c>
      <c r="E303" s="22" t="s">
        <v>10</v>
      </c>
      <c r="F303" s="44" t="s">
        <v>350</v>
      </c>
      <c r="G303" s="44"/>
      <c r="H303" s="44" t="s">
        <v>514</v>
      </c>
      <c r="I303" s="47" t="s">
        <v>515</v>
      </c>
    </row>
    <row r="304" spans="1:9" ht="153">
      <c r="A304" s="71">
        <v>43389</v>
      </c>
      <c r="B304" s="8" t="str">
        <f>HYPERLINK("https://www.nih.gov/","National Institutes of Health ")</f>
        <v xml:space="preserve">National Institutes of Health </v>
      </c>
      <c r="C304" s="24" t="s">
        <v>65</v>
      </c>
      <c r="D304" s="8" t="s">
        <v>1131</v>
      </c>
      <c r="E304" s="22" t="s">
        <v>95</v>
      </c>
      <c r="F304" s="44" t="s">
        <v>947</v>
      </c>
      <c r="G304" s="44"/>
      <c r="H304" s="44"/>
      <c r="I304" s="47" t="s">
        <v>1132</v>
      </c>
    </row>
    <row r="305" spans="1:9" ht="102">
      <c r="A305" s="71">
        <v>43390</v>
      </c>
      <c r="B305" s="6" t="str">
        <f>HYPERLINK("https://nationalhumanitiescenter.org","National Humanities Center")</f>
        <v>National Humanities Center</v>
      </c>
      <c r="C305" s="24" t="s">
        <v>14</v>
      </c>
      <c r="D305" s="23" t="str">
        <f>HYPERLINK("https://nationalhumanitiescenter.org/become-a-fellow/","Fellowship")</f>
        <v>Fellowship</v>
      </c>
      <c r="E305" s="22" t="s">
        <v>159</v>
      </c>
      <c r="F305" s="25" t="s">
        <v>350</v>
      </c>
      <c r="G305" s="25"/>
      <c r="H305" s="44" t="s">
        <v>420</v>
      </c>
      <c r="I305" s="47" t="s">
        <v>431</v>
      </c>
    </row>
    <row r="306" spans="1:9" ht="127.5">
      <c r="A306" s="56">
        <v>43390</v>
      </c>
      <c r="B306" s="32" t="str">
        <f>HYPERLINK("http://camargofoundation.org/","Camargo Foundation")</f>
        <v>Camargo Foundation</v>
      </c>
      <c r="C306" s="39" t="s">
        <v>14</v>
      </c>
      <c r="D306" s="57" t="str">
        <f>HYPERLINK("http://camargofoundation.org/programs/camargo-core-program/","Core Program in Cassis, France")</f>
        <v>Core Program in Cassis, France</v>
      </c>
      <c r="E306" s="34" t="s">
        <v>10</v>
      </c>
      <c r="F306" s="34" t="s">
        <v>350</v>
      </c>
      <c r="G306" s="34"/>
      <c r="H306" s="34" t="s">
        <v>516</v>
      </c>
      <c r="I306" s="58" t="s">
        <v>517</v>
      </c>
    </row>
    <row r="307" spans="1:9" ht="191.25">
      <c r="A307" s="31">
        <v>43390</v>
      </c>
      <c r="B307" s="32" t="str">
        <f>HYPERLINK("https://erc.europa.eu/","European Research Council")</f>
        <v>European Research Council</v>
      </c>
      <c r="C307" s="39" t="s">
        <v>14</v>
      </c>
      <c r="D307" s="32" t="str">
        <f>HYPERLINK("https://erc.europa.eu/","Grants")</f>
        <v>Grants</v>
      </c>
      <c r="E307" s="34" t="s">
        <v>10</v>
      </c>
      <c r="F307" s="35" t="s">
        <v>720</v>
      </c>
      <c r="G307" s="35"/>
      <c r="H307" s="37" t="s">
        <v>734</v>
      </c>
      <c r="I307" s="38" t="s">
        <v>735</v>
      </c>
    </row>
    <row r="308" spans="1:9" ht="140.25">
      <c r="A308" s="71">
        <v>43390</v>
      </c>
      <c r="B308" s="6" t="str">
        <f>HYPERLINK("http://www.aera.net","American Educational Research Association")</f>
        <v>American Educational Research Association</v>
      </c>
      <c r="C308" s="24" t="s">
        <v>14</v>
      </c>
      <c r="D308" s="6" t="str">
        <f>HYPERLINK("http://www.aera.net/Professional-Opportunities-Funding/AERA-Funding-Opportunities/Grants-Program/Research-Grants","Research Grants")</f>
        <v>Research Grants</v>
      </c>
      <c r="E308" s="22" t="s">
        <v>152</v>
      </c>
      <c r="F308" s="22" t="s">
        <v>947</v>
      </c>
      <c r="G308" s="25"/>
      <c r="H308" s="19" t="s">
        <v>978</v>
      </c>
      <c r="I308" s="47" t="s">
        <v>979</v>
      </c>
    </row>
    <row r="309" spans="1:9" ht="102">
      <c r="A309" s="71">
        <v>43392</v>
      </c>
      <c r="B309" s="6" t="str">
        <f>HYPERLINK("https://www.acs.org/","American Chemistry Society")</f>
        <v>American Chemistry Society</v>
      </c>
      <c r="C309" s="15" t="s">
        <v>14</v>
      </c>
      <c r="D309" s="6" t="str">
        <f>HYPERLINK("https://www.acs.org/content/acs/en/funding-and-awards/grants/prf/programs/ur.html","Undergraduate Research")</f>
        <v>Undergraduate Research</v>
      </c>
      <c r="E309" s="9" t="s">
        <v>80</v>
      </c>
      <c r="F309" s="22" t="s">
        <v>947</v>
      </c>
      <c r="G309" s="22"/>
      <c r="H309" s="44" t="s">
        <v>1111</v>
      </c>
      <c r="I309" s="16" t="s">
        <v>1112</v>
      </c>
    </row>
    <row r="310" spans="1:9" ht="180.75">
      <c r="A310" s="71">
        <v>43392</v>
      </c>
      <c r="B310" s="6" t="str">
        <f>HYPERLINK("https://www.acs.org/","American Chemistry Society")</f>
        <v>American Chemistry Society</v>
      </c>
      <c r="C310" s="15" t="s">
        <v>14</v>
      </c>
      <c r="D310" s="6" t="str">
        <f>HYPERLINK("https://www.acs.org/content/acs/en/funding-and-awards/grants/prf/programs/uni.html","Undergraduate New Investigator Grants")</f>
        <v>Undergraduate New Investigator Grants</v>
      </c>
      <c r="E310" s="9" t="s">
        <v>80</v>
      </c>
      <c r="F310" s="10" t="s">
        <v>947</v>
      </c>
      <c r="G310" s="10"/>
      <c r="H310" s="44" t="s">
        <v>1111</v>
      </c>
      <c r="I310" s="16" t="s">
        <v>1113</v>
      </c>
    </row>
    <row r="311" spans="1:9" ht="140.25">
      <c r="A311" s="71">
        <v>43393</v>
      </c>
      <c r="B311" s="6" t="str">
        <f>HYPERLINK("http://artomi.org/","Art Omi")</f>
        <v>Art Omi</v>
      </c>
      <c r="C311" s="15" t="s">
        <v>14</v>
      </c>
      <c r="D311" s="6" t="str">
        <f>HYPERLINK("http://artomi.org/residencies/architecture","Art Omi: Architecture Residency")</f>
        <v>Art Omi: Architecture Residency</v>
      </c>
      <c r="E311" s="9" t="s">
        <v>479</v>
      </c>
      <c r="F311" s="25" t="s">
        <v>350</v>
      </c>
      <c r="G311" s="25" t="s">
        <v>480</v>
      </c>
      <c r="H311" s="44" t="s">
        <v>481</v>
      </c>
      <c r="I311" s="16" t="s">
        <v>482</v>
      </c>
    </row>
    <row r="312" spans="1:9" ht="204">
      <c r="A312" s="71">
        <v>43393</v>
      </c>
      <c r="B312" s="6" t="str">
        <f>HYPERLINK("https://www.nsf.gov/","National Science Foundation")</f>
        <v>National Science Foundation</v>
      </c>
      <c r="C312" s="24" t="s">
        <v>65</v>
      </c>
      <c r="D312" s="8" t="s">
        <v>1103</v>
      </c>
      <c r="E312" s="22" t="s">
        <v>76</v>
      </c>
      <c r="F312" s="44" t="s">
        <v>947</v>
      </c>
      <c r="G312" s="44"/>
      <c r="H312" s="44"/>
      <c r="I312" s="47" t="s">
        <v>1104</v>
      </c>
    </row>
    <row r="313" spans="1:9" ht="89.25">
      <c r="A313" s="71">
        <v>43397</v>
      </c>
      <c r="B313" s="6" t="str">
        <f>HYPERLINK("https://www.acls.org","American Council of Learned Societies")</f>
        <v>American Council of Learned Societies</v>
      </c>
      <c r="C313" s="24" t="s">
        <v>14</v>
      </c>
      <c r="D313" s="6" t="str">
        <f>HYPERLINK("https://www.acls.org/programs/Luce-ACLS-fellowships/","Luce/ACLS Program in Religion, Journalism &amp; International Affairs Fellowships ")</f>
        <v xml:space="preserve">Luce/ACLS Program in Religion, Journalism &amp; International Affairs Fellowships </v>
      </c>
      <c r="E313" s="22" t="s">
        <v>204</v>
      </c>
      <c r="F313" s="44" t="s">
        <v>157</v>
      </c>
      <c r="G313" s="44"/>
      <c r="H313" s="19">
        <v>55000</v>
      </c>
      <c r="I313" s="47" t="s">
        <v>205</v>
      </c>
    </row>
    <row r="314" spans="1:9" ht="191.25">
      <c r="A314" s="5">
        <v>43397</v>
      </c>
      <c r="B314" s="6" t="str">
        <f>HYPERLINK("neh.gov","National Endowment for the Humanities")</f>
        <v>National Endowment for the Humanities</v>
      </c>
      <c r="C314" s="15" t="s">
        <v>65</v>
      </c>
      <c r="D314" s="23" t="str">
        <f>HYPERLINK("https://www.neh.gov/grants/education/dialogues-the-experience-war","Dialogues on the Experience of War")</f>
        <v>Dialogues on the Experience of War</v>
      </c>
      <c r="E314" s="9" t="s">
        <v>40</v>
      </c>
      <c r="F314" s="44" t="s">
        <v>788</v>
      </c>
      <c r="G314" s="44"/>
      <c r="H314" s="14" t="s">
        <v>795</v>
      </c>
      <c r="I314" s="26" t="s">
        <v>796</v>
      </c>
    </row>
    <row r="315" spans="1:9" ht="114.75">
      <c r="A315" s="5">
        <v>43398</v>
      </c>
      <c r="B315" s="6" t="str">
        <f>HYPERLINK("http://fitchfoundation.org/","Fitch Foundation")</f>
        <v>Fitch Foundation</v>
      </c>
      <c r="C315" s="15" t="s">
        <v>14</v>
      </c>
      <c r="D315" s="8" t="s">
        <v>42</v>
      </c>
      <c r="E315" s="9" t="s">
        <v>40</v>
      </c>
      <c r="F315" s="10" t="s">
        <v>22</v>
      </c>
      <c r="G315" s="14"/>
      <c r="H315" s="10"/>
      <c r="I315" s="16" t="s">
        <v>43</v>
      </c>
    </row>
    <row r="316" spans="1:9" ht="165.75">
      <c r="A316" s="5">
        <v>43398</v>
      </c>
      <c r="B316" s="8" t="str">
        <f>HYPERLINK("https://www.nsf.gov/","National Science Foundation")</f>
        <v>National Science Foundation</v>
      </c>
      <c r="C316" s="7" t="s">
        <v>65</v>
      </c>
      <c r="D316" s="23" t="str">
        <f>HYPERLINK("https://www.nsf.gov/funding/pgm_summ.jsp?pims_id=503144","Division of Earth Sciences Postdoctoral Fellowships")</f>
        <v>Division of Earth Sciences Postdoctoral Fellowships</v>
      </c>
      <c r="E316" s="9" t="s">
        <v>76</v>
      </c>
      <c r="F316" s="10" t="s">
        <v>157</v>
      </c>
      <c r="G316" s="14" t="s">
        <v>50</v>
      </c>
      <c r="H316" s="14"/>
      <c r="I316" s="16" t="s">
        <v>297</v>
      </c>
    </row>
    <row r="317" spans="1:9" ht="191.25">
      <c r="A317" s="17">
        <v>43398</v>
      </c>
      <c r="B317" s="6" t="str">
        <f>HYPERLINK("https://www.eui.eu","European University Institute")</f>
        <v>European University Institute</v>
      </c>
      <c r="C317" s="15" t="s">
        <v>8</v>
      </c>
      <c r="D317" s="23" t="str">
        <f>HYPERLINK("https://www.eui.eu/ProgrammesAndFellowships/MaxWeberProgramme/AboutTheProgramme/AboutTheMWP","Max Weber Programme for Postdoctoral Studies Fellowship")</f>
        <v>Max Weber Programme for Postdoctoral Studies Fellowship</v>
      </c>
      <c r="E317" s="9" t="s">
        <v>10</v>
      </c>
      <c r="F317" s="10" t="s">
        <v>350</v>
      </c>
      <c r="G317" s="14" t="s">
        <v>518</v>
      </c>
      <c r="H317" s="60" t="s">
        <v>519</v>
      </c>
      <c r="I317" s="16" t="s">
        <v>520</v>
      </c>
    </row>
    <row r="318" spans="1:9" ht="89.25">
      <c r="A318" s="71">
        <v>43398</v>
      </c>
      <c r="B318" s="8" t="str">
        <f>HYPERLINK("https://www.nsf.gov/","National Science Foundation")</f>
        <v>National Science Foundation</v>
      </c>
      <c r="C318" s="15" t="s">
        <v>65</v>
      </c>
      <c r="D318" s="8" t="s">
        <v>1061</v>
      </c>
      <c r="E318" s="9" t="s">
        <v>60</v>
      </c>
      <c r="F318" s="10" t="s">
        <v>947</v>
      </c>
      <c r="G318" s="10"/>
      <c r="H318" s="14" t="s">
        <v>1062</v>
      </c>
      <c r="I318" s="16" t="s">
        <v>1063</v>
      </c>
    </row>
    <row r="319" spans="1:9" ht="165.75">
      <c r="A319" s="5">
        <v>43398</v>
      </c>
      <c r="B319" s="6" t="str">
        <f>HYPERLINK("https://www.nsf.gov/","National Science Foundation")</f>
        <v>National Science Foundation</v>
      </c>
      <c r="C319" s="7" t="s">
        <v>65</v>
      </c>
      <c r="D319" s="8" t="s">
        <v>1158</v>
      </c>
      <c r="E319" s="9" t="s">
        <v>101</v>
      </c>
      <c r="F319" s="44" t="s">
        <v>947</v>
      </c>
      <c r="G319" s="44"/>
      <c r="H319" s="10"/>
      <c r="I319" s="16" t="s">
        <v>1159</v>
      </c>
    </row>
    <row r="320" spans="1:9" ht="408">
      <c r="A320" s="17">
        <v>43398</v>
      </c>
      <c r="B320" s="89" t="str">
        <f>HYPERLINK("https://www.nsf.gov/","National Science Foundation")</f>
        <v>National Science Foundation</v>
      </c>
      <c r="C320" s="7" t="s">
        <v>65</v>
      </c>
      <c r="D320" s="8" t="s">
        <v>1160</v>
      </c>
      <c r="E320" s="9" t="s">
        <v>101</v>
      </c>
      <c r="F320" s="10" t="s">
        <v>947</v>
      </c>
      <c r="G320" s="14"/>
      <c r="H320" s="10"/>
      <c r="I320" s="16" t="s">
        <v>1161</v>
      </c>
    </row>
    <row r="321" spans="1:9" ht="216.75">
      <c r="A321" s="5">
        <v>43399</v>
      </c>
      <c r="B321" s="6" t="str">
        <f>HYPERLINK("http://heymancenter.org/","Columbia Institute for Ideas and Imagination (II&amp;I)")</f>
        <v>Columbia Institute for Ideas and Imagination (II&amp;I)</v>
      </c>
      <c r="C321" s="15" t="s">
        <v>8</v>
      </c>
      <c r="D321" s="6" t="str">
        <f>HYPERLINK("http://heymancenter.org/about/columbia-institute-for-ideas-and-imagination-fellowship/","Faculty Fellowship")</f>
        <v>Faculty Fellowship</v>
      </c>
      <c r="E321" s="9" t="s">
        <v>10</v>
      </c>
      <c r="F321" s="44" t="s">
        <v>350</v>
      </c>
      <c r="G321" s="44"/>
      <c r="H321" s="19">
        <v>75000</v>
      </c>
      <c r="I321" s="16" t="s">
        <v>521</v>
      </c>
    </row>
    <row r="322" spans="1:9" ht="76.5">
      <c r="A322" s="5">
        <v>43403</v>
      </c>
      <c r="B322" s="6" t="str">
        <f>HYPERLINK("https://www.apap365.org/","Association of Performing Arts Professionals")</f>
        <v>Association of Performing Arts Professionals</v>
      </c>
      <c r="C322" s="15" t="s">
        <v>14</v>
      </c>
      <c r="D322" s="8" t="s">
        <v>1317</v>
      </c>
      <c r="E322" s="9" t="s">
        <v>49</v>
      </c>
      <c r="F322" s="44" t="s">
        <v>1318</v>
      </c>
      <c r="G322" s="44"/>
      <c r="H322" s="10" t="s">
        <v>1319</v>
      </c>
      <c r="I322" s="16" t="s">
        <v>1320</v>
      </c>
    </row>
    <row r="323" spans="1:9" ht="191.25">
      <c r="A323" s="17">
        <v>43404</v>
      </c>
      <c r="B323" s="6" t="str">
        <f>HYPERLINK("arts.gov","National Endowment for the Arts")</f>
        <v>National Endowment for the Arts</v>
      </c>
      <c r="C323" s="49" t="s">
        <v>65</v>
      </c>
      <c r="D323" s="30" t="str">
        <f>HYPERLINK("https://www.arts.gov/lifetime-honors/nea-jazz-masters/make-nomination","NEA Jazz Masters Fellowships")</f>
        <v>NEA Jazz Masters Fellowships</v>
      </c>
      <c r="E323" s="9" t="s">
        <v>49</v>
      </c>
      <c r="F323" s="10" t="s">
        <v>163</v>
      </c>
      <c r="G323" s="14" t="s">
        <v>235</v>
      </c>
      <c r="H323" s="19">
        <v>25000</v>
      </c>
      <c r="I323" s="16" t="s">
        <v>237</v>
      </c>
    </row>
    <row r="324" spans="1:9" ht="229.5">
      <c r="A324" s="5">
        <v>43404</v>
      </c>
      <c r="B324" s="6" t="str">
        <f>HYPERLINK("http://www.ascsa.edu.gr/","American School of Classical Studies at Athens")</f>
        <v>American School of Classical Studies at Athens</v>
      </c>
      <c r="C324" s="15" t="s">
        <v>8</v>
      </c>
      <c r="D324" s="6" t="str">
        <f>HYPERLINK("http://www.ascsa.edu.gr/index.php/admission-membership/post-doctoral-and-senior-scholars","National Endowment for the Humanities Fellowships")</f>
        <v>National Endowment for the Humanities Fellowships</v>
      </c>
      <c r="E324" s="9" t="s">
        <v>400</v>
      </c>
      <c r="F324" s="22" t="s">
        <v>350</v>
      </c>
      <c r="G324" s="22"/>
      <c r="H324" s="10" t="s">
        <v>401</v>
      </c>
      <c r="I324" s="16" t="s">
        <v>402</v>
      </c>
    </row>
    <row r="325" spans="1:9" ht="127.5">
      <c r="A325" s="17">
        <v>43404</v>
      </c>
      <c r="B325" s="6" t="str">
        <f>HYPERLINK("https://www.brandeis.edu/","Brandeis University")</f>
        <v>Brandeis University</v>
      </c>
      <c r="C325" s="15" t="s">
        <v>8</v>
      </c>
      <c r="D325" s="6" t="str">
        <f>HYPERLINK("https://www.brandeis.edu/israelcenter/support/postdoctoral.html","Postdoctoral Fellowship in Israel Studies ")</f>
        <v xml:space="preserve">Postdoctoral Fellowship in Israel Studies </v>
      </c>
      <c r="E325" s="9" t="s">
        <v>580</v>
      </c>
      <c r="F325" s="10" t="s">
        <v>350</v>
      </c>
      <c r="G325" s="14" t="s">
        <v>587</v>
      </c>
      <c r="H325" s="14" t="s">
        <v>588</v>
      </c>
      <c r="I325" s="16" t="s">
        <v>589</v>
      </c>
    </row>
    <row r="326" spans="1:9" ht="153">
      <c r="A326" s="17">
        <v>43404</v>
      </c>
      <c r="B326" s="6" t="str">
        <f>HYPERLINK("http://www.nationalacademies.org/","National Academies of Science, Engineering, Medicine")</f>
        <v>National Academies of Science, Engineering, Medicine</v>
      </c>
      <c r="C326" s="15" t="s">
        <v>14</v>
      </c>
      <c r="D326" s="8" t="s">
        <v>597</v>
      </c>
      <c r="E326" s="9" t="s">
        <v>60</v>
      </c>
      <c r="F326" s="10" t="s">
        <v>350</v>
      </c>
      <c r="G326" s="14"/>
      <c r="H326" s="19">
        <v>50000</v>
      </c>
      <c r="I326" s="16" t="s">
        <v>598</v>
      </c>
    </row>
    <row r="327" spans="1:9" ht="114.75">
      <c r="A327" s="5">
        <v>43404</v>
      </c>
      <c r="B327" s="6" t="str">
        <f>HYPERLINK("https://www.cfr.org/","Council on Foreign Relations")</f>
        <v>Council on Foreign Relations</v>
      </c>
      <c r="C327" s="15" t="s">
        <v>14</v>
      </c>
      <c r="D327" s="8" t="s">
        <v>630</v>
      </c>
      <c r="E327" s="9" t="s">
        <v>323</v>
      </c>
      <c r="F327" s="44" t="s">
        <v>350</v>
      </c>
      <c r="G327" s="44" t="s">
        <v>631</v>
      </c>
      <c r="H327" s="19">
        <v>100000</v>
      </c>
      <c r="I327" s="16" t="s">
        <v>632</v>
      </c>
    </row>
    <row r="328" spans="1:9" ht="140.25">
      <c r="A328" s="5">
        <v>43404</v>
      </c>
      <c r="B328" s="6" t="str">
        <f>HYPERLINK("https://thehoneybeeconservancy.org/","Honey Bee Conservancy")</f>
        <v>Honey Bee Conservancy</v>
      </c>
      <c r="C328" s="15" t="s">
        <v>14</v>
      </c>
      <c r="D328" s="8" t="s">
        <v>925</v>
      </c>
      <c r="E328" s="9" t="s">
        <v>76</v>
      </c>
      <c r="F328" s="44" t="s">
        <v>926</v>
      </c>
      <c r="G328" s="44"/>
      <c r="H328" s="10"/>
      <c r="I328" s="16" t="s">
        <v>927</v>
      </c>
    </row>
    <row r="329" spans="1:9" ht="382.5">
      <c r="A329" s="5">
        <v>43404</v>
      </c>
      <c r="B329" s="8" t="str">
        <f>HYPERLINK("https://www.nsf.gov/","National Science Foundation")</f>
        <v>National Science Foundation</v>
      </c>
      <c r="C329" s="7" t="s">
        <v>65</v>
      </c>
      <c r="D329" s="6" t="str">
        <f>HYPERLINK("https://www.nsf.gov/pubs/2018/nsf18561/nsf18561.htm","Division of Chemistry")</f>
        <v>Division of Chemistry</v>
      </c>
      <c r="E329" s="22" t="s">
        <v>80</v>
      </c>
      <c r="F329" s="44" t="s">
        <v>980</v>
      </c>
      <c r="G329" s="44"/>
      <c r="H329" s="14"/>
      <c r="I329" s="16" t="s">
        <v>1114</v>
      </c>
    </row>
    <row r="330" spans="1:9" ht="76.5">
      <c r="A330" s="71">
        <v>43404</v>
      </c>
      <c r="B330" s="6" t="str">
        <f>HYPERLINK("https://www.simonsfoundation.org/","Simons Foundation")</f>
        <v>Simons Foundation</v>
      </c>
      <c r="C330" s="24" t="s">
        <v>14</v>
      </c>
      <c r="D330" s="8" t="s">
        <v>1162</v>
      </c>
      <c r="E330" s="22" t="s">
        <v>101</v>
      </c>
      <c r="F330" s="44" t="s">
        <v>947</v>
      </c>
      <c r="G330" s="44"/>
      <c r="H330" s="44" t="s">
        <v>1163</v>
      </c>
      <c r="I330" s="47" t="s">
        <v>1164</v>
      </c>
    </row>
    <row r="331" spans="1:9" ht="216.75">
      <c r="A331" s="5">
        <v>43404</v>
      </c>
      <c r="B331" s="6" t="str">
        <f>HYPERLINK("https://www.hagley.org/","Hagley Museum &amp; LIbrary")</f>
        <v>Hagley Museum &amp; LIbrary</v>
      </c>
      <c r="C331" s="15" t="s">
        <v>14</v>
      </c>
      <c r="D331" s="8" t="s">
        <v>1343</v>
      </c>
      <c r="E331" s="9" t="s">
        <v>10</v>
      </c>
      <c r="F331" s="10"/>
      <c r="G331" s="14"/>
      <c r="H331" s="10"/>
      <c r="I331" s="47" t="s">
        <v>1344</v>
      </c>
    </row>
    <row r="332" spans="1:9" ht="165.75">
      <c r="A332" s="5">
        <v>43404</v>
      </c>
      <c r="B332" s="8" t="str">
        <f>HYPERLINK("https://www.nsf.gov/","National Science Foundation")</f>
        <v>National Science Foundation</v>
      </c>
      <c r="C332" s="15" t="s">
        <v>65</v>
      </c>
      <c r="D332" s="6" t="str">
        <f>HYPERLINK("https://www.nsf.gov/funding/pgm_summ.jsp?pims_id=504813","Computational and Data-Enabled Science and Engineering Division of Chemistry - Chemical Measurement and Imaging")</f>
        <v>Computational and Data-Enabled Science and Engineering Division of Chemistry - Chemical Measurement and Imaging</v>
      </c>
      <c r="E332" s="9" t="s">
        <v>763</v>
      </c>
      <c r="F332" s="44"/>
      <c r="G332" s="44"/>
      <c r="H332" s="10"/>
      <c r="I332" s="16" t="s">
        <v>1363</v>
      </c>
    </row>
    <row r="333" spans="1:9" ht="165.75">
      <c r="A333" s="71">
        <v>43404</v>
      </c>
      <c r="B333" s="8" t="s">
        <v>1119</v>
      </c>
      <c r="C333" s="24" t="s">
        <v>65</v>
      </c>
      <c r="D333" s="23" t="str">
        <f>HYPERLINK("https://www.nsf.gov/funding/pgm_summ.jsp?pims_id=504813","Computational and Data-Enabled Science and Engineering Division of Materials Research")</f>
        <v>Computational and Data-Enabled Science and Engineering Division of Materials Research</v>
      </c>
      <c r="E333" s="9" t="s">
        <v>763</v>
      </c>
      <c r="F333" s="10"/>
      <c r="G333" s="10"/>
      <c r="H333" s="44"/>
      <c r="I333" s="47" t="s">
        <v>1364</v>
      </c>
    </row>
    <row r="334" spans="1:9" ht="191.25">
      <c r="A334" s="5">
        <v>43404</v>
      </c>
      <c r="B334" s="8" t="s">
        <v>1119</v>
      </c>
      <c r="C334" s="15" t="s">
        <v>65</v>
      </c>
      <c r="D334" s="8" t="s">
        <v>1365</v>
      </c>
      <c r="E334" s="22" t="s">
        <v>763</v>
      </c>
      <c r="F334" s="10"/>
      <c r="G334" s="14"/>
      <c r="H334" s="14"/>
      <c r="I334" s="16" t="s">
        <v>1366</v>
      </c>
    </row>
    <row r="335" spans="1:9" ht="102">
      <c r="A335" s="5">
        <v>43405</v>
      </c>
      <c r="B335" s="6" t="str">
        <f>HYPERLINK("http://dreyfus.org","Dreyfus Foundation")</f>
        <v>Dreyfus Foundation</v>
      </c>
      <c r="C335" s="7" t="s">
        <v>14</v>
      </c>
      <c r="D335" s="23" t="str">
        <f>HYPERLINK("https://www.dreyfus.org/acs-awards-for-women/","Award for Encouraging Women into Careers in the Chemical Sciences")</f>
        <v>Award for Encouraging Women into Careers in the Chemical Sciences</v>
      </c>
      <c r="E335" s="22" t="s">
        <v>80</v>
      </c>
      <c r="F335" s="44" t="s">
        <v>19</v>
      </c>
      <c r="G335" s="44"/>
      <c r="H335" s="14" t="s">
        <v>84</v>
      </c>
      <c r="I335" s="16" t="s">
        <v>85</v>
      </c>
    </row>
    <row r="336" spans="1:9" ht="191.25">
      <c r="A336" s="5">
        <v>43405</v>
      </c>
      <c r="B336" s="6" t="str">
        <f>HYPERLINK("http://www.apa.org/apf/","American Psychological Association")</f>
        <v>American Psychological Association</v>
      </c>
      <c r="C336" s="15" t="s">
        <v>14</v>
      </c>
      <c r="D336" s="8" t="s">
        <v>111</v>
      </c>
      <c r="E336" s="9" t="s">
        <v>105</v>
      </c>
      <c r="F336" s="10" t="s">
        <v>19</v>
      </c>
      <c r="G336" s="14" t="s">
        <v>112</v>
      </c>
      <c r="H336" s="10"/>
      <c r="I336" s="47" t="s">
        <v>113</v>
      </c>
    </row>
    <row r="337" spans="1:9" ht="114.75">
      <c r="A337" s="5">
        <v>43405</v>
      </c>
      <c r="B337" s="6" t="str">
        <f>HYPERLINK("http://teachpsych.org/","Society for the Teaching of Psychology")</f>
        <v>Society for the Teaching of Psychology</v>
      </c>
      <c r="C337" s="7" t="s">
        <v>14</v>
      </c>
      <c r="D337" s="6" t="str">
        <f>HYPERLINK("http://teachpsych.org/members/grants/smallgrants.php","STP Partnerships Small Grant Program")</f>
        <v>STP Partnerships Small Grant Program</v>
      </c>
      <c r="E337" s="22" t="s">
        <v>132</v>
      </c>
      <c r="F337" s="10" t="s">
        <v>133</v>
      </c>
      <c r="G337" s="14"/>
      <c r="H337" s="14" t="s">
        <v>134</v>
      </c>
      <c r="I337" s="16" t="s">
        <v>135</v>
      </c>
    </row>
    <row r="338" spans="1:9" ht="114.75">
      <c r="A338" s="31">
        <v>43405</v>
      </c>
      <c r="B338" s="32" t="str">
        <f>HYPERLINK("asor.org","American Schools of Oriental Research")</f>
        <v>American Schools of Oriental Research</v>
      </c>
      <c r="C338" s="59" t="s">
        <v>183</v>
      </c>
      <c r="D338" s="32" t="str">
        <f>HYPERLINK("http://www.asor.org/fellowships/mesopotamian-fellowship/","Mesopotamian Fellowship")</f>
        <v>Mesopotamian Fellowship</v>
      </c>
      <c r="E338" s="34" t="s">
        <v>232</v>
      </c>
      <c r="F338" s="36" t="s">
        <v>163</v>
      </c>
      <c r="G338" s="36"/>
      <c r="H338" s="37">
        <v>9000</v>
      </c>
      <c r="I338" s="38" t="s">
        <v>233</v>
      </c>
    </row>
    <row r="339" spans="1:9" ht="76.5">
      <c r="A339" s="5">
        <v>43405</v>
      </c>
      <c r="B339" s="6" t="str">
        <f>HYPERLINK("https://www.aauw.org","American Association of University Women (AAUW)")</f>
        <v>American Association of University Women (AAUW)</v>
      </c>
      <c r="C339" s="15" t="s">
        <v>69</v>
      </c>
      <c r="D339" s="8" t="s">
        <v>262</v>
      </c>
      <c r="E339" s="22" t="s">
        <v>10</v>
      </c>
      <c r="F339" s="10" t="s">
        <v>157</v>
      </c>
      <c r="G339" s="14" t="s">
        <v>263</v>
      </c>
      <c r="H339" s="19">
        <v>30000</v>
      </c>
      <c r="I339" s="16" t="s">
        <v>264</v>
      </c>
    </row>
    <row r="340" spans="1:9" ht="165.75">
      <c r="A340" s="5">
        <v>43405</v>
      </c>
      <c r="B340" s="6" t="str">
        <f>HYPERLINK("https://lclf.harvard.edu/","Loeb Classical Library - Harvard University")</f>
        <v>Loeb Classical Library - Harvard University</v>
      </c>
      <c r="C340" s="7" t="s">
        <v>8</v>
      </c>
      <c r="D340" s="8" t="s">
        <v>279</v>
      </c>
      <c r="E340" s="22" t="s">
        <v>156</v>
      </c>
      <c r="F340" s="25" t="s">
        <v>157</v>
      </c>
      <c r="G340" s="25" t="s">
        <v>280</v>
      </c>
      <c r="H340" s="14" t="s">
        <v>281</v>
      </c>
      <c r="I340" s="16" t="s">
        <v>282</v>
      </c>
    </row>
    <row r="341" spans="1:9" ht="102">
      <c r="A341" s="5">
        <v>43405</v>
      </c>
      <c r="B341" s="6" t="str">
        <f>HYPERLINK("http://www.american-music.org","Society for American Music")</f>
        <v>Society for American Music</v>
      </c>
      <c r="C341" s="59" t="s">
        <v>14</v>
      </c>
      <c r="D341" s="23" t="str">
        <f>HYPERLINK("https://www.american-music.org/page/BlockFWP","Adrienne Fried Block Fellowship")</f>
        <v>Adrienne Fried Block Fellowship</v>
      </c>
      <c r="E341" s="9" t="s">
        <v>325</v>
      </c>
      <c r="F341" s="10" t="s">
        <v>163</v>
      </c>
      <c r="G341" s="14"/>
      <c r="H341" s="10" t="s">
        <v>326</v>
      </c>
      <c r="I341" s="47" t="s">
        <v>327</v>
      </c>
    </row>
    <row r="342" spans="1:9" ht="140.25">
      <c r="A342" s="5">
        <v>43405</v>
      </c>
      <c r="B342" s="6" t="str">
        <f>HYPERLINK("https://www.brown.edu","Brown University George A. and Eliza Gardner Howard Foundation")</f>
        <v>Brown University George A. and Eliza Gardner Howard Foundation</v>
      </c>
      <c r="C342" s="7" t="s">
        <v>8</v>
      </c>
      <c r="D342" s="6" t="str">
        <f>HYPERLINK("https://www.brown.edu/initiatives/howard-foundation/","Fellowships")</f>
        <v>Fellowships</v>
      </c>
      <c r="E342" s="9" t="s">
        <v>10</v>
      </c>
      <c r="F342" s="44" t="s">
        <v>334</v>
      </c>
      <c r="G342" s="44" t="s">
        <v>335</v>
      </c>
      <c r="H342" s="19">
        <v>33000</v>
      </c>
      <c r="I342" s="16" t="s">
        <v>336</v>
      </c>
    </row>
    <row r="343" spans="1:9" ht="127.5">
      <c r="A343" s="5">
        <v>43405</v>
      </c>
      <c r="B343" s="6" t="str">
        <f>HYPERLINK("https://www.aaas.org/","American Association for the Advancement of Science")</f>
        <v>American Association for the Advancement of Science</v>
      </c>
      <c r="C343" s="7" t="s">
        <v>14</v>
      </c>
      <c r="D343" s="6" t="str">
        <f>HYPERLINK("https://www.aaas.org/page/stpf/become-st-policy-fellow","Science and Technology Fellows")</f>
        <v>Science and Technology Fellows</v>
      </c>
      <c r="E343" s="9" t="s">
        <v>339</v>
      </c>
      <c r="F343" s="10" t="s">
        <v>340</v>
      </c>
      <c r="G343" s="14" t="s">
        <v>341</v>
      </c>
      <c r="H343" s="19" t="s">
        <v>342</v>
      </c>
      <c r="I343" s="16" t="s">
        <v>343</v>
      </c>
    </row>
    <row r="344" spans="1:9" ht="102">
      <c r="A344" s="5">
        <v>43405</v>
      </c>
      <c r="B344" s="6" t="str">
        <f>HYPERLINK("http://librarycompany.org/","Library Company of Philadelphia")</f>
        <v>Library Company of Philadelphia</v>
      </c>
      <c r="C344" s="15" t="s">
        <v>183</v>
      </c>
      <c r="D344" s="6" t="str">
        <f>HYPERLINK("http://librarycompany.org/academic-programs/fellowships/postdoc/","NEH Post-doctoral Fellowship")</f>
        <v>NEH Post-doctoral Fellowship</v>
      </c>
      <c r="E344" s="9" t="s">
        <v>15</v>
      </c>
      <c r="F344" s="44" t="s">
        <v>350</v>
      </c>
      <c r="G344" s="44"/>
      <c r="H344" s="14" t="s">
        <v>381</v>
      </c>
      <c r="I344" s="16" t="s">
        <v>382</v>
      </c>
    </row>
    <row r="345" spans="1:9" ht="114.75">
      <c r="A345" s="31">
        <v>43405</v>
      </c>
      <c r="B345" s="32" t="str">
        <f>HYPERLINK("http://www.amscan.org/","American-Scandinavian Foundation")</f>
        <v>American-Scandinavian Foundation</v>
      </c>
      <c r="C345" s="59" t="s">
        <v>14</v>
      </c>
      <c r="D345" s="32" t="str">
        <f>HYPERLINK("http://www.amscan.org/fellowships-and-grants/fellowshipsgrants-to-study-in-scandinavia/","Fellowships/Grants to Study in Scandanavia")</f>
        <v>Fellowships/Grants to Study in Scandanavia</v>
      </c>
      <c r="E345" s="34" t="s">
        <v>227</v>
      </c>
      <c r="F345" s="36" t="s">
        <v>350</v>
      </c>
      <c r="G345" s="36"/>
      <c r="H345" s="37" t="s">
        <v>403</v>
      </c>
      <c r="I345" s="38" t="s">
        <v>404</v>
      </c>
    </row>
    <row r="346" spans="1:9" ht="293.25">
      <c r="A346" s="5">
        <v>43405</v>
      </c>
      <c r="B346" s="6" t="str">
        <f>HYPERLINK("http://www.aarome.org/","American Academy in Rome")</f>
        <v>American Academy in Rome</v>
      </c>
      <c r="C346" s="7" t="s">
        <v>8</v>
      </c>
      <c r="D346" s="8" t="s">
        <v>432</v>
      </c>
      <c r="E346" s="9" t="s">
        <v>159</v>
      </c>
      <c r="F346" s="25" t="s">
        <v>350</v>
      </c>
      <c r="G346" s="14"/>
      <c r="H346" s="10" t="s">
        <v>433</v>
      </c>
      <c r="I346" s="16" t="s">
        <v>434</v>
      </c>
    </row>
    <row r="347" spans="1:9" ht="114.75">
      <c r="A347" s="5">
        <v>43405</v>
      </c>
      <c r="B347" s="6" t="str">
        <f>HYPERLINK("https://irh.wisc.edu","University of Wisconsin Institute for Research in the Humanities")</f>
        <v>University of Wisconsin Institute for Research in the Humanities</v>
      </c>
      <c r="C347" s="15" t="s">
        <v>8</v>
      </c>
      <c r="D347" s="6" t="str">
        <f>HYPERLINK("https://irh.wisc.edu/fellowships/solmsen","Solmsen Post-doctoral Fellowships")</f>
        <v>Solmsen Post-doctoral Fellowships</v>
      </c>
      <c r="E347" s="9" t="s">
        <v>159</v>
      </c>
      <c r="F347" s="10" t="s">
        <v>350</v>
      </c>
      <c r="G347" s="14"/>
      <c r="H347" s="19">
        <v>55000</v>
      </c>
      <c r="I347" s="16" t="s">
        <v>435</v>
      </c>
    </row>
    <row r="348" spans="1:9" ht="114.75">
      <c r="A348" s="5">
        <v>43405</v>
      </c>
      <c r="B348" s="6" t="str">
        <f>HYPERLINK("https://www.folger.edu/","Folger Shakespeare Library")</f>
        <v>Folger Shakespeare Library</v>
      </c>
      <c r="C348" s="7" t="s">
        <v>183</v>
      </c>
      <c r="D348" s="6" t="str">
        <f>HYPERLINK("https://www.folger.edu/about-fellowships","Long Term Fellowship")</f>
        <v>Long Term Fellowship</v>
      </c>
      <c r="E348" s="9" t="s">
        <v>366</v>
      </c>
      <c r="F348" s="22" t="s">
        <v>350</v>
      </c>
      <c r="G348" s="22"/>
      <c r="H348" s="14" t="s">
        <v>458</v>
      </c>
      <c r="I348" s="16" t="s">
        <v>459</v>
      </c>
    </row>
    <row r="349" spans="1:9" ht="242.25">
      <c r="A349" s="17">
        <v>43405</v>
      </c>
      <c r="B349" s="6" t="str">
        <f>HYPERLINK("https://irh.wisc.edu/","Institute for Research in the Humanities University of Wisconsin - Madison")</f>
        <v>Institute for Research in the Humanities University of Wisconsin - Madison</v>
      </c>
      <c r="C349" s="15" t="s">
        <v>312</v>
      </c>
      <c r="D349" s="6" t="str">
        <f>HYPERLINK("https://irh.wisc.edu/fellowships/kingdon","Kingdon Fellowships")</f>
        <v>Kingdon Fellowships</v>
      </c>
      <c r="E349" s="9" t="s">
        <v>202</v>
      </c>
      <c r="F349" s="44" t="s">
        <v>350</v>
      </c>
      <c r="G349" s="44"/>
      <c r="H349" s="19">
        <v>55000</v>
      </c>
      <c r="I349" s="47" t="s">
        <v>467</v>
      </c>
    </row>
    <row r="350" spans="1:9" ht="51">
      <c r="A350" s="71">
        <v>43405</v>
      </c>
      <c r="B350" s="6" t="str">
        <f>HYPERLINK("https://www.newberry.org/","Newberry Library")</f>
        <v>Newberry Library</v>
      </c>
      <c r="C350" s="7" t="s">
        <v>14</v>
      </c>
      <c r="D350" s="6" t="str">
        <f>HYPERLINK("http://www.newberry.org/long-term-fellowships","Long-Term Fellowships")</f>
        <v>Long-Term Fellowships</v>
      </c>
      <c r="E350" s="9" t="s">
        <v>159</v>
      </c>
      <c r="F350" s="10" t="s">
        <v>350</v>
      </c>
      <c r="G350" s="14"/>
      <c r="H350" s="19" t="s">
        <v>469</v>
      </c>
      <c r="I350" s="16" t="s">
        <v>470</v>
      </c>
    </row>
    <row r="351" spans="1:9" ht="191.25">
      <c r="A351" s="5">
        <v>43405</v>
      </c>
      <c r="B351" s="6" t="str">
        <f>HYPERLINK("https://clags.org/","CLAGS")</f>
        <v>CLAGS</v>
      </c>
      <c r="C351" s="7" t="s">
        <v>14</v>
      </c>
      <c r="D351" s="8" t="s">
        <v>497</v>
      </c>
      <c r="E351" s="22" t="s">
        <v>498</v>
      </c>
      <c r="F351" s="10" t="s">
        <v>350</v>
      </c>
      <c r="G351" s="44"/>
      <c r="H351" s="60">
        <v>0</v>
      </c>
      <c r="I351" s="16" t="s">
        <v>499</v>
      </c>
    </row>
    <row r="352" spans="1:9" ht="127.5">
      <c r="A352" s="5">
        <v>43405</v>
      </c>
      <c r="B352" s="6" t="str">
        <f>HYPERLINK("https://www.si.edu/","Smithsonian Institution")</f>
        <v>Smithsonian Institution</v>
      </c>
      <c r="C352" s="7" t="s">
        <v>65</v>
      </c>
      <c r="D352" s="6" t="str">
        <f>HYPERLINK("https://www.smithsonianofi.com/fellowship-opportunities/mpala-postdoctoral-fellowship/","Mpala Postdoctoral and Senior Fellowship")</f>
        <v>Mpala Postdoctoral and Senior Fellowship</v>
      </c>
      <c r="E352" s="9" t="s">
        <v>10</v>
      </c>
      <c r="F352" s="10" t="s">
        <v>350</v>
      </c>
      <c r="G352" s="14"/>
      <c r="H352" s="10" t="s">
        <v>522</v>
      </c>
      <c r="I352" s="16" t="s">
        <v>523</v>
      </c>
    </row>
    <row r="353" spans="1:9" ht="102">
      <c r="A353" s="5">
        <v>43405</v>
      </c>
      <c r="B353" s="6" t="str">
        <f>HYPERLINK("https://ces.fas.harvard.edu/","Harvard Center for European Studies")</f>
        <v>Harvard Center for European Studies</v>
      </c>
      <c r="C353" s="15" t="s">
        <v>8</v>
      </c>
      <c r="D353" s="6" t="str">
        <f>HYPERLINK("https://ces.fas.harvard.edu/opportunities/fellows/visiting-scholars","Visiting Scholars and Fellows Program")</f>
        <v>Visiting Scholars and Fellows Program</v>
      </c>
      <c r="E353" s="9" t="s">
        <v>569</v>
      </c>
      <c r="F353" s="10" t="s">
        <v>350</v>
      </c>
      <c r="G353" s="14"/>
      <c r="H353" s="44" t="s">
        <v>574</v>
      </c>
      <c r="I353" s="16" t="s">
        <v>575</v>
      </c>
    </row>
    <row r="354" spans="1:9" ht="191.25">
      <c r="A354" s="17">
        <v>43405</v>
      </c>
      <c r="B354" s="6" t="str">
        <f>HYPERLINK("https://science.nrao.edu","National Radio Astronomy Observatory")</f>
        <v>National Radio Astronomy Observatory</v>
      </c>
      <c r="C354" s="7" t="s">
        <v>183</v>
      </c>
      <c r="D354" s="23" t="str">
        <f>HYPERLINK("https://science.nrao.edu/opportunities/postdoctoral-programs/jansky","Jansky Fellowship")</f>
        <v>Jansky Fellowship</v>
      </c>
      <c r="E354" s="9" t="s">
        <v>649</v>
      </c>
      <c r="F354" s="10" t="s">
        <v>650</v>
      </c>
      <c r="G354" s="44"/>
      <c r="H354" s="14"/>
      <c r="I354" s="16" t="s">
        <v>651</v>
      </c>
    </row>
    <row r="355" spans="1:9" ht="153">
      <c r="A355" s="5">
        <v>43405</v>
      </c>
      <c r="B355" s="6" t="str">
        <f>HYPERLINK("http://www.stsci.edu/","Space Telescope Science Institute")</f>
        <v>Space Telescope Science Institute</v>
      </c>
      <c r="C355" s="7" t="s">
        <v>183</v>
      </c>
      <c r="D355" s="8" t="s">
        <v>682</v>
      </c>
      <c r="E355" s="22" t="s">
        <v>101</v>
      </c>
      <c r="F355" s="10" t="s">
        <v>670</v>
      </c>
      <c r="G355" s="14"/>
      <c r="H355" s="10"/>
      <c r="I355" s="16" t="s">
        <v>683</v>
      </c>
    </row>
    <row r="356" spans="1:9" ht="76.5">
      <c r="A356" s="5">
        <v>43405</v>
      </c>
      <c r="B356" s="23" t="str">
        <f>HYPERLINK("https://www.archaeological.org/","Archaeological Institute of America")</f>
        <v>Archaeological Institute of America</v>
      </c>
      <c r="C356" s="7" t="s">
        <v>14</v>
      </c>
      <c r="D356" s="8" t="s">
        <v>704</v>
      </c>
      <c r="E356" s="9" t="s">
        <v>705</v>
      </c>
      <c r="F356" s="10" t="s">
        <v>687</v>
      </c>
      <c r="G356" s="14"/>
      <c r="H356" s="10" t="s">
        <v>706</v>
      </c>
      <c r="I356" s="16" t="s">
        <v>707</v>
      </c>
    </row>
    <row r="357" spans="1:9" ht="114.75">
      <c r="A357" s="5">
        <v>43405</v>
      </c>
      <c r="B357" s="23" t="str">
        <f>HYPERLINK("https://www.archaeological.org/","Archaeological Institute of America")</f>
        <v>Archaeological Institute of America</v>
      </c>
      <c r="C357" s="15" t="s">
        <v>14</v>
      </c>
      <c r="D357" s="23" t="str">
        <f>HYPERLINK("https://www.archaeological.org/grants/700","Olivia James Traveling Fellowship")</f>
        <v>Olivia James Traveling Fellowship</v>
      </c>
      <c r="E357" s="9" t="s">
        <v>705</v>
      </c>
      <c r="F357" s="44" t="s">
        <v>687</v>
      </c>
      <c r="G357" s="10" t="s">
        <v>708</v>
      </c>
      <c r="H357" s="44"/>
      <c r="I357" s="47" t="s">
        <v>709</v>
      </c>
    </row>
    <row r="358" spans="1:9" ht="102">
      <c r="A358" s="5">
        <v>43405</v>
      </c>
      <c r="B358" s="6" t="str">
        <f>HYPERLINK("http://www.thelawrencefoundation.org","Lawrence Foundation")</f>
        <v>Lawrence Foundation</v>
      </c>
      <c r="C358" s="15" t="s">
        <v>14</v>
      </c>
      <c r="D358" s="8" t="s">
        <v>815</v>
      </c>
      <c r="E358" s="9" t="s">
        <v>10</v>
      </c>
      <c r="F358" s="10" t="s">
        <v>816</v>
      </c>
      <c r="G358" s="14"/>
      <c r="H358" s="44"/>
      <c r="I358" s="16" t="s">
        <v>817</v>
      </c>
    </row>
    <row r="359" spans="1:9" ht="76.5">
      <c r="A359" s="5">
        <v>43405</v>
      </c>
      <c r="B359" s="6" t="str">
        <f>HYPERLINK("https://www.aauw.org","American Association of University Women (AAUW)")</f>
        <v>American Association of University Women (AAUW)</v>
      </c>
      <c r="C359" s="7" t="s">
        <v>69</v>
      </c>
      <c r="D359" s="8" t="s">
        <v>881</v>
      </c>
      <c r="E359" s="9" t="s">
        <v>10</v>
      </c>
      <c r="F359" s="22" t="s">
        <v>833</v>
      </c>
      <c r="G359" s="14"/>
      <c r="H359" s="19">
        <v>6000</v>
      </c>
      <c r="I359" s="16" t="s">
        <v>882</v>
      </c>
    </row>
    <row r="360" spans="1:9" ht="140.25">
      <c r="A360" s="5">
        <v>43405</v>
      </c>
      <c r="B360" s="6" t="str">
        <f>HYPERLINK("http://www.tmuny.org/","Trust for Mutual Understanding")</f>
        <v>Trust for Mutual Understanding</v>
      </c>
      <c r="C360" s="7" t="s">
        <v>14</v>
      </c>
      <c r="D360" s="6" t="str">
        <f>HYPERLINK("http://www.tmuny.org/applicants/#Information","Grants")</f>
        <v>Grants</v>
      </c>
      <c r="E360" s="9" t="s">
        <v>544</v>
      </c>
      <c r="F360" s="44" t="s">
        <v>833</v>
      </c>
      <c r="G360" s="44"/>
      <c r="H360" s="19" t="s">
        <v>795</v>
      </c>
      <c r="I360" s="16" t="s">
        <v>887</v>
      </c>
    </row>
    <row r="361" spans="1:9" ht="114.75">
      <c r="A361" s="5">
        <v>43405</v>
      </c>
      <c r="B361" s="23" t="str">
        <f>HYPERLINK("https://www.archaeological.org/","Archaeological Institute of America")</f>
        <v>Archaeological Institute of America</v>
      </c>
      <c r="C361" s="7" t="s">
        <v>14</v>
      </c>
      <c r="D361" s="68" t="str">
        <f>HYPERLINK("https://www.archaeological.org/grants/9891","Samuel H. Kress Grant for Research and Publication in Classical Art and Architecture")</f>
        <v>Samuel H. Kress Grant for Research and Publication in Classical Art and Architecture</v>
      </c>
      <c r="E361" s="9" t="s">
        <v>705</v>
      </c>
      <c r="F361" s="44" t="s">
        <v>944</v>
      </c>
      <c r="G361" s="44"/>
      <c r="H361" s="19">
        <v>3000</v>
      </c>
      <c r="I361" s="26" t="s">
        <v>945</v>
      </c>
    </row>
    <row r="362" spans="1:9" ht="102">
      <c r="A362" s="5">
        <v>43405</v>
      </c>
      <c r="B362" s="23" t="str">
        <f>HYPERLINK("https://www.archaeological.org/","Archaeological Institute of America")</f>
        <v>Archaeological Institute of America</v>
      </c>
      <c r="C362" s="15" t="s">
        <v>14</v>
      </c>
      <c r="D362" s="68" t="str">
        <f>HYPERLINK("https://www.archaeological.org/grants/711","Publications Subvention Program")</f>
        <v>Publications Subvention Program</v>
      </c>
      <c r="E362" s="9" t="s">
        <v>705</v>
      </c>
      <c r="F362" s="44" t="s">
        <v>944</v>
      </c>
      <c r="G362" s="44"/>
      <c r="H362" s="19">
        <v>5000</v>
      </c>
      <c r="I362" s="16" t="s">
        <v>946</v>
      </c>
    </row>
    <row r="363" spans="1:9" ht="102">
      <c r="A363" s="31">
        <v>43405</v>
      </c>
      <c r="B363" s="32" t="str">
        <f>HYPERLINK("https://www.jfklibrary.org/","John F. Kennedy Presidential Library and Museum")</f>
        <v>John F. Kennedy Presidential Library and Museum</v>
      </c>
      <c r="C363" s="59" t="s">
        <v>183</v>
      </c>
      <c r="D363" s="32" t="str">
        <f>HYPERLINK("https://www.jfklibrary.org/About-Us/Job-Volunteer-Internships/Research-Grants-and-Fellowships/Ernest-Hemingway-Research-Grants.aspx","Ernest Hemingway Research Grants")</f>
        <v>Ernest Hemingway Research Grants</v>
      </c>
      <c r="E363" s="34" t="s">
        <v>40</v>
      </c>
      <c r="F363" s="36" t="s">
        <v>947</v>
      </c>
      <c r="G363" s="36"/>
      <c r="H363" s="37"/>
      <c r="I363" s="38" t="s">
        <v>964</v>
      </c>
    </row>
    <row r="364" spans="1:9" ht="89.25">
      <c r="A364" s="5">
        <v>43405</v>
      </c>
      <c r="B364" s="6" t="str">
        <f>HYPERLINK("https://naeducation.org/","National Academy of Education")</f>
        <v>National Academy of Education</v>
      </c>
      <c r="C364" s="15" t="s">
        <v>14</v>
      </c>
      <c r="D364" s="6" t="str">
        <f>HYPERLINK("https://naeducation.org/naedspencer-postdoctoral-fellowship-guidelines/","Postdoctoral Fellowship")</f>
        <v>Postdoctoral Fellowship</v>
      </c>
      <c r="E364" s="22" t="s">
        <v>969</v>
      </c>
      <c r="F364" s="44" t="s">
        <v>980</v>
      </c>
      <c r="G364" s="44" t="s">
        <v>341</v>
      </c>
      <c r="H364" s="14" t="s">
        <v>981</v>
      </c>
      <c r="I364" s="16" t="s">
        <v>982</v>
      </c>
    </row>
    <row r="365" spans="1:9" ht="89.25">
      <c r="A365" s="5">
        <v>43405</v>
      </c>
      <c r="B365" s="6" t="str">
        <f>HYPERLINK("http://rockarch.org/","Rockefeller Archive")</f>
        <v>Rockefeller Archive</v>
      </c>
      <c r="C365" s="15" t="s">
        <v>14</v>
      </c>
      <c r="D365" s="8" t="s">
        <v>999</v>
      </c>
      <c r="E365" s="22" t="s">
        <v>10</v>
      </c>
      <c r="F365" s="44" t="s">
        <v>980</v>
      </c>
      <c r="G365" s="44"/>
      <c r="H365" s="10"/>
      <c r="I365" s="16" t="s">
        <v>1000</v>
      </c>
    </row>
    <row r="366" spans="1:9" ht="63.75">
      <c r="A366" s="71">
        <v>43405</v>
      </c>
      <c r="B366" s="6" t="str">
        <f>HYPERLINK("http://www.wmkeck.org","W.M. Keck Foundation ")</f>
        <v xml:space="preserve">W.M. Keck Foundation </v>
      </c>
      <c r="C366" s="7" t="s">
        <v>14</v>
      </c>
      <c r="D366" s="8" t="s">
        <v>1064</v>
      </c>
      <c r="E366" s="22" t="s">
        <v>60</v>
      </c>
      <c r="F366" s="10" t="s">
        <v>947</v>
      </c>
      <c r="G366" s="14"/>
      <c r="H366" s="10" t="s">
        <v>1065</v>
      </c>
      <c r="I366" s="16" t="s">
        <v>1066</v>
      </c>
    </row>
    <row r="367" spans="1:9" ht="102">
      <c r="A367" s="5">
        <v>43405</v>
      </c>
      <c r="B367" s="6" t="str">
        <f>HYPERLINK("https://www.ias.edu/","Institute for Advanced Study (IAS), School of Social Science")</f>
        <v>Institute for Advanced Study (IAS), School of Social Science</v>
      </c>
      <c r="C367" s="7" t="s">
        <v>8</v>
      </c>
      <c r="D367" s="6" t="str">
        <f>HYPERLINK("https://www.sss.ias.edu/applications-school-social-science-2019-20","Membership")</f>
        <v>Membership</v>
      </c>
      <c r="E367" s="22" t="s">
        <v>323</v>
      </c>
      <c r="F367" s="44" t="s">
        <v>980</v>
      </c>
      <c r="G367" s="44"/>
      <c r="H367" s="60"/>
      <c r="I367" s="16" t="s">
        <v>1188</v>
      </c>
    </row>
    <row r="368" spans="1:9" ht="140.25">
      <c r="A368" s="5">
        <v>43405</v>
      </c>
      <c r="B368" s="23" t="str">
        <f>HYPERLINK("https://www.archaeological.org/","Archaeological Institute of America")</f>
        <v>Archaeological Institute of America</v>
      </c>
      <c r="C368" s="15" t="s">
        <v>14</v>
      </c>
      <c r="D368" s="62" t="str">
        <f>HYPERLINK("https://www.archaeological.org/grants/23666","Julie Herzig Desnick Endowment Fund for Archaeological Field Surveys")</f>
        <v>Julie Herzig Desnick Endowment Fund for Archaeological Field Surveys</v>
      </c>
      <c r="E368" s="9" t="s">
        <v>705</v>
      </c>
      <c r="F368" s="44" t="s">
        <v>980</v>
      </c>
      <c r="G368" s="44" t="s">
        <v>1225</v>
      </c>
      <c r="H368" s="19">
        <v>5000</v>
      </c>
      <c r="I368" s="16" t="s">
        <v>1226</v>
      </c>
    </row>
    <row r="369" spans="1:9" ht="114.75">
      <c r="A369" s="5">
        <v>43405</v>
      </c>
      <c r="B369" s="23" t="str">
        <f>HYPERLINK("https://www.archaeological.org/","Archaeological Institute of America")</f>
        <v>Archaeological Institute of America</v>
      </c>
      <c r="C369" s="15" t="s">
        <v>14</v>
      </c>
      <c r="D369" s="23" t="str">
        <f>HYPERLINK("https://www.archaeological.org/grants/23667","The Ellen and Charles Steinmetz Endowment Fund for Archeology")</f>
        <v>The Ellen and Charles Steinmetz Endowment Fund for Archeology</v>
      </c>
      <c r="E369" s="9" t="s">
        <v>705</v>
      </c>
      <c r="F369" s="10" t="s">
        <v>980</v>
      </c>
      <c r="G369" s="14" t="s">
        <v>1225</v>
      </c>
      <c r="H369" s="19">
        <v>5500</v>
      </c>
      <c r="I369" s="16" t="s">
        <v>1227</v>
      </c>
    </row>
    <row r="370" spans="1:9" ht="140.25">
      <c r="A370" s="17">
        <v>43405</v>
      </c>
      <c r="B370" s="23" t="str">
        <f>HYPERLINK("https://www.archaeological.org/","Archaeological Institute of America")</f>
        <v>Archaeological Institute of America</v>
      </c>
      <c r="C370" s="7" t="s">
        <v>14</v>
      </c>
      <c r="D370" s="68" t="str">
        <f>HYPERLINK("https://www.archaeological.org/grants/23668","The Kathleen and David Boochever Endowment Fund for Fieldwork and Scientific Analyses")</f>
        <v>The Kathleen and David Boochever Endowment Fund for Fieldwork and Scientific Analyses</v>
      </c>
      <c r="E370" s="9" t="s">
        <v>705</v>
      </c>
      <c r="F370" s="44" t="s">
        <v>980</v>
      </c>
      <c r="G370" s="44" t="s">
        <v>1225</v>
      </c>
      <c r="H370" s="19">
        <v>4000</v>
      </c>
      <c r="I370" s="16" t="s">
        <v>1228</v>
      </c>
    </row>
    <row r="371" spans="1:9" ht="191.25">
      <c r="A371" s="5">
        <v>43405</v>
      </c>
      <c r="B371" s="6" t="str">
        <f>HYPERLINK("http://www.wennergren.org","Wenner Gren Foundation")</f>
        <v>Wenner Gren Foundation</v>
      </c>
      <c r="C371" s="44" t="s">
        <v>14</v>
      </c>
      <c r="D371" s="45" t="str">
        <f>HYPERLINK("http://www.wennergren.org/programs/post-phd-research-grants","Post-Ph.D. Research Grants")</f>
        <v>Post-Ph.D. Research Grants</v>
      </c>
      <c r="E371" s="9" t="s">
        <v>705</v>
      </c>
      <c r="F371" s="25" t="s">
        <v>947</v>
      </c>
      <c r="G371" s="25"/>
      <c r="H371" s="19" t="s">
        <v>914</v>
      </c>
      <c r="I371" s="16" t="s">
        <v>1229</v>
      </c>
    </row>
    <row r="372" spans="1:9" ht="140.25">
      <c r="A372" s="5">
        <v>43405</v>
      </c>
      <c r="B372" s="6" t="str">
        <f>HYPERLINK("https://www.archaeological.org/","Archaeological Institute of America")</f>
        <v>Archaeological Institute of America</v>
      </c>
      <c r="C372" s="15" t="s">
        <v>14</v>
      </c>
      <c r="D372" s="6" t="str">
        <f>HYPERLINK("https://www.archaeological.org/grants/702","The Archaeology of Portugal Fellowship")</f>
        <v>The Archaeology of Portugal Fellowship</v>
      </c>
      <c r="E372" s="9" t="s">
        <v>1291</v>
      </c>
      <c r="F372" s="44"/>
      <c r="G372" s="44"/>
      <c r="H372" s="14" t="s">
        <v>706</v>
      </c>
      <c r="I372" s="16" t="s">
        <v>1376</v>
      </c>
    </row>
    <row r="373" spans="1:9" ht="165.75">
      <c r="A373" s="21">
        <v>43406</v>
      </c>
      <c r="B373" s="6" t="str">
        <f>HYPERLINK("http://fitchfoundation.org/","Fitch Foundation")</f>
        <v>Fitch Foundation</v>
      </c>
      <c r="C373" s="15" t="s">
        <v>14</v>
      </c>
      <c r="D373" s="23" t="str">
        <f>HYPERLINK("http://fitchfoundation.org/grants/kress/","Samuel H. Kress Fellowship")</f>
        <v>Samuel H. Kress Fellowship</v>
      </c>
      <c r="E373" s="9" t="s">
        <v>177</v>
      </c>
      <c r="F373" s="10" t="s">
        <v>163</v>
      </c>
      <c r="G373" s="14" t="s">
        <v>179</v>
      </c>
      <c r="H373" s="10" t="s">
        <v>180</v>
      </c>
      <c r="I373" s="16" t="s">
        <v>181</v>
      </c>
    </row>
    <row r="374" spans="1:9" ht="127.5">
      <c r="A374" s="5">
        <v>43406</v>
      </c>
      <c r="B374" s="6" t="str">
        <f>HYPERLINK("http://fitchfoundation.org/","Fitch Foundation")</f>
        <v>Fitch Foundation</v>
      </c>
      <c r="C374" s="7" t="s">
        <v>14</v>
      </c>
      <c r="D374" s="8" t="s">
        <v>332</v>
      </c>
      <c r="E374" s="22" t="s">
        <v>10</v>
      </c>
      <c r="F374" s="10" t="s">
        <v>163</v>
      </c>
      <c r="G374" s="14"/>
      <c r="H374" s="14"/>
      <c r="I374" s="16" t="s">
        <v>333</v>
      </c>
    </row>
    <row r="375" spans="1:9" ht="255">
      <c r="A375" s="21">
        <v>43406</v>
      </c>
      <c r="B375" s="6" t="str">
        <f>HYPERLINK("http://www.berggruen.org/","Berggruen Institute")</f>
        <v>Berggruen Institute</v>
      </c>
      <c r="C375" s="7" t="s">
        <v>8</v>
      </c>
      <c r="D375" s="6" t="str">
        <f>HYPERLINK("http://www.berggruen.org/fellowship-program/","Berggruen Fellowships")</f>
        <v>Berggruen Fellowships</v>
      </c>
      <c r="E375" s="9" t="s">
        <v>10</v>
      </c>
      <c r="F375" s="44" t="s">
        <v>350</v>
      </c>
      <c r="G375" s="14"/>
      <c r="H375" s="10" t="s">
        <v>524</v>
      </c>
      <c r="I375" s="16" t="s">
        <v>525</v>
      </c>
    </row>
    <row r="376" spans="1:9" ht="153">
      <c r="A376" s="5">
        <v>43406</v>
      </c>
      <c r="B376" s="6" t="str">
        <f>HYPERLINK("https://casbs.stanford.edu/","Center for Advance Study of Behavioral Science--Stanford")</f>
        <v>Center for Advance Study of Behavioral Science--Stanford</v>
      </c>
      <c r="C376" s="24" t="s">
        <v>8</v>
      </c>
      <c r="D376" s="8" t="s">
        <v>633</v>
      </c>
      <c r="E376" s="9" t="s">
        <v>323</v>
      </c>
      <c r="F376" s="10" t="s">
        <v>350</v>
      </c>
      <c r="G376" s="14"/>
      <c r="H376" s="14" t="s">
        <v>634</v>
      </c>
      <c r="I376" s="16" t="s">
        <v>635</v>
      </c>
    </row>
    <row r="377" spans="1:9" ht="140.25">
      <c r="A377" s="17">
        <v>43406</v>
      </c>
      <c r="B377" s="6" t="str">
        <f>HYPERLINK("https://www.nctm.org/","National Council of Teachers of Mathematics")</f>
        <v>National Council of Teachers of Mathematics</v>
      </c>
      <c r="C377" s="7" t="s">
        <v>14</v>
      </c>
      <c r="D377" s="23" t="str">
        <f>HYPERLINK("https://www.nctm.org/Grants-and-Awards/Grants/Pre-K-6-Classroom-Research-Grants/","Pre-K-6 Classroom Research")</f>
        <v>Pre-K-6 Classroom Research</v>
      </c>
      <c r="E377" s="9" t="s">
        <v>152</v>
      </c>
      <c r="F377" s="10" t="s">
        <v>947</v>
      </c>
      <c r="G377" s="14"/>
      <c r="H377" s="10" t="s">
        <v>807</v>
      </c>
      <c r="I377" s="16" t="s">
        <v>983</v>
      </c>
    </row>
    <row r="378" spans="1:9" ht="153">
      <c r="A378" s="5">
        <v>43406</v>
      </c>
      <c r="B378" s="6" t="str">
        <f>HYPERLINK("http://teachpsych.org/","Society for the Teaching of Psychology")</f>
        <v>Society for the Teaching of Psychology</v>
      </c>
      <c r="C378" s="15" t="s">
        <v>14</v>
      </c>
      <c r="D378" s="6" t="str">
        <f>HYPERLINK("http://teachpsych.org/page-1557800","Scholarship of Teaching and Learning (SoTL) Research Grant")</f>
        <v>Scholarship of Teaching and Learning (SoTL) Research Grant</v>
      </c>
      <c r="E378" s="9" t="s">
        <v>132</v>
      </c>
      <c r="F378" s="22" t="s">
        <v>947</v>
      </c>
      <c r="G378" s="14"/>
      <c r="H378" s="19" t="s">
        <v>778</v>
      </c>
      <c r="I378" s="16" t="s">
        <v>1175</v>
      </c>
    </row>
    <row r="379" spans="1:9" ht="114.75">
      <c r="A379" s="5">
        <v>43409</v>
      </c>
      <c r="B379" s="6" t="str">
        <f>HYPERLINK("https://sarweb.org/","School for Advanced Research")</f>
        <v>School for Advanced Research</v>
      </c>
      <c r="C379" s="7" t="s">
        <v>14</v>
      </c>
      <c r="D379" s="23" t="str">
        <f>HYPERLINK("https://sarweb.org/scholars/resident/","Residential Scholars")</f>
        <v>Residential Scholars</v>
      </c>
      <c r="E379" s="22" t="s">
        <v>10</v>
      </c>
      <c r="F379" s="10" t="s">
        <v>350</v>
      </c>
      <c r="G379" s="44"/>
      <c r="H379" s="44"/>
      <c r="I379" s="47" t="s">
        <v>526</v>
      </c>
    </row>
    <row r="380" spans="1:9" ht="89.25">
      <c r="A380" s="17">
        <v>43409</v>
      </c>
      <c r="B380" s="6" t="str">
        <f>HYPERLINK("https://uchv.princeton.edu","University Center for Human Values-- Princeton")</f>
        <v>University Center for Human Values-- Princeton</v>
      </c>
      <c r="C380" s="7" t="s">
        <v>8</v>
      </c>
      <c r="D380" s="8" t="s">
        <v>527</v>
      </c>
      <c r="E380" s="9" t="s">
        <v>10</v>
      </c>
      <c r="F380" s="44" t="s">
        <v>350</v>
      </c>
      <c r="G380" s="44"/>
      <c r="H380" s="14" t="s">
        <v>528</v>
      </c>
      <c r="I380" s="16" t="s">
        <v>529</v>
      </c>
    </row>
    <row r="381" spans="1:9" ht="216.75">
      <c r="A381" s="5">
        <v>43410</v>
      </c>
      <c r="B381" s="8" t="str">
        <f>HYPERLINK("https://www.nsf.gov/","National Science Foundation")</f>
        <v>National Science Foundation</v>
      </c>
      <c r="C381" s="15" t="s">
        <v>65</v>
      </c>
      <c r="D381" s="23" t="str">
        <f>HYPERLINK("https://www.nsf.gov/funding/pgm_summ.jsp?pims_id=503622","Directorate for Biological Sciences Awards Postdoctoral Research Fellowships in Biology")</f>
        <v>Directorate for Biological Sciences Awards Postdoctoral Research Fellowships in Biology</v>
      </c>
      <c r="E381" s="9" t="s">
        <v>76</v>
      </c>
      <c r="F381" s="44" t="s">
        <v>163</v>
      </c>
      <c r="G381" s="44" t="s">
        <v>50</v>
      </c>
      <c r="H381" s="44"/>
      <c r="I381" s="16" t="s">
        <v>298</v>
      </c>
    </row>
    <row r="382" spans="1:9" ht="76.5">
      <c r="A382" s="5">
        <v>43410</v>
      </c>
      <c r="B382" s="6" t="str">
        <f>HYPERLINK("https://www.fws.gov/","U.S. Fish and Wildlife Service")</f>
        <v>U.S. Fish and Wildlife Service</v>
      </c>
      <c r="C382" s="7" t="s">
        <v>65</v>
      </c>
      <c r="D382" s="8" t="s">
        <v>739</v>
      </c>
      <c r="E382" s="22" t="s">
        <v>60</v>
      </c>
      <c r="F382" s="44" t="s">
        <v>716</v>
      </c>
      <c r="G382" s="14"/>
      <c r="H382" s="14"/>
      <c r="I382" s="16" t="s">
        <v>740</v>
      </c>
    </row>
    <row r="383" spans="1:9" ht="114.75">
      <c r="A383" s="5">
        <v>43410</v>
      </c>
      <c r="B383" s="6" t="str">
        <f>HYPERLINK("http://ethicsandeducation.wceruw.org/","Center for Ethics &amp; Education")</f>
        <v>Center for Ethics &amp; Education</v>
      </c>
      <c r="C383" s="49" t="s">
        <v>8</v>
      </c>
      <c r="D383" s="8" t="s">
        <v>984</v>
      </c>
      <c r="E383" s="9" t="s">
        <v>152</v>
      </c>
      <c r="F383" s="44" t="s">
        <v>947</v>
      </c>
      <c r="G383" s="14"/>
      <c r="H383" s="44"/>
      <c r="I383" s="16" t="s">
        <v>985</v>
      </c>
    </row>
    <row r="384" spans="1:9" ht="51">
      <c r="A384" s="17">
        <v>43410</v>
      </c>
      <c r="B384" s="6" t="str">
        <f>HYPERLINK("https://psscra.org/","Pershing Square Sohn Cancer Research Alliance")</f>
        <v>Pershing Square Sohn Cancer Research Alliance</v>
      </c>
      <c r="C384" s="7" t="s">
        <v>14</v>
      </c>
      <c r="D384" s="8" t="s">
        <v>1067</v>
      </c>
      <c r="E384" s="22" t="s">
        <v>60</v>
      </c>
      <c r="F384" s="44" t="s">
        <v>947</v>
      </c>
      <c r="G384" s="14"/>
      <c r="H384" s="14" t="s">
        <v>1068</v>
      </c>
      <c r="I384" s="16" t="s">
        <v>1069</v>
      </c>
    </row>
    <row r="385" spans="1:9" ht="153">
      <c r="A385" s="5">
        <v>43410</v>
      </c>
      <c r="B385" s="23" t="str">
        <f>HYPERLINK("https://www.nih.gov/","National Institutes of Health")</f>
        <v>National Institutes of Health</v>
      </c>
      <c r="C385" s="15" t="s">
        <v>65</v>
      </c>
      <c r="D385" s="23" t="str">
        <f>HYPERLINK("https://grants.nih.gov/grants/guide/pa-files/PAR-17-455.html","Research Education Program (R25), National Institute of Allergy and Infectious Disease")</f>
        <v>Research Education Program (R25), National Institute of Allergy and Infectious Disease</v>
      </c>
      <c r="E385" s="9" t="s">
        <v>95</v>
      </c>
      <c r="F385" s="10" t="s">
        <v>947</v>
      </c>
      <c r="G385" s="14"/>
      <c r="H385" s="10"/>
      <c r="I385" s="16" t="s">
        <v>1133</v>
      </c>
    </row>
    <row r="386" spans="1:9" ht="165.75">
      <c r="A386" s="5">
        <v>43411</v>
      </c>
      <c r="B386" s="8" t="str">
        <f>HYPERLINK("https://www.nsf.gov/","National Science Foundation")</f>
        <v>National Science Foundation</v>
      </c>
      <c r="C386" s="15" t="s">
        <v>65</v>
      </c>
      <c r="D386" s="23" t="str">
        <f>HYPERLINK("https://nsf.gov/pubs/2017/nsf17573/nsf17573.htm","Advancing Informal STEM Learning")</f>
        <v>Advancing Informal STEM Learning</v>
      </c>
      <c r="E386" s="9" t="s">
        <v>60</v>
      </c>
      <c r="F386" s="10" t="s">
        <v>788</v>
      </c>
      <c r="G386" s="14"/>
      <c r="H386" s="44"/>
      <c r="I386" s="16" t="s">
        <v>805</v>
      </c>
    </row>
    <row r="387" spans="1:9" ht="38.25">
      <c r="A387" s="17">
        <v>43411</v>
      </c>
      <c r="B387" s="23" t="str">
        <f>HYPERLINK("https://www.nih.gov/","National Institutes of Health")</f>
        <v>National Institutes of Health</v>
      </c>
      <c r="C387" s="15" t="s">
        <v>65</v>
      </c>
      <c r="D387" s="8" t="s">
        <v>1182</v>
      </c>
      <c r="E387" s="9" t="s">
        <v>105</v>
      </c>
      <c r="F387" s="10" t="s">
        <v>947</v>
      </c>
      <c r="G387" s="14"/>
      <c r="H387" s="14"/>
      <c r="I387" s="16" t="s">
        <v>1183</v>
      </c>
    </row>
    <row r="388" spans="1:9" ht="140.25">
      <c r="A388" s="5">
        <v>43412</v>
      </c>
      <c r="B388" s="23" t="str">
        <f>HYPERLINK("http://www.acls.org/","American Council of Learned Societies")</f>
        <v>American Council of Learned Societies</v>
      </c>
      <c r="C388" s="15" t="s">
        <v>14</v>
      </c>
      <c r="D388" s="6" t="str">
        <f>HYPERLINK("http://www.acls.org/programs/chinese-culture/","Comparative Perspectives on Chinese Culture and Society")</f>
        <v>Comparative Perspectives on Chinese Culture and Society</v>
      </c>
      <c r="E388" s="9" t="s">
        <v>559</v>
      </c>
      <c r="F388" s="10" t="s">
        <v>833</v>
      </c>
      <c r="G388" s="14"/>
      <c r="H388" s="10" t="s">
        <v>889</v>
      </c>
      <c r="I388" s="16" t="s">
        <v>890</v>
      </c>
    </row>
    <row r="389" spans="1:9" ht="242.25">
      <c r="A389" s="21">
        <v>43418</v>
      </c>
      <c r="B389" s="8" t="str">
        <f>HYPERLINK("https://www.nsf.gov/","National Science Foundation")</f>
        <v>National Science Foundation</v>
      </c>
      <c r="C389" s="7" t="s">
        <v>65</v>
      </c>
      <c r="D389" s="23" t="str">
        <f>HYPERLINK("https://www.nsf.gov/pubs/2016/nsf16589/nsf16589.htm","Integrated Earth Systems")</f>
        <v>Integrated Earth Systems</v>
      </c>
      <c r="E389" s="9" t="s">
        <v>76</v>
      </c>
      <c r="F389" s="10" t="s">
        <v>947</v>
      </c>
      <c r="G389" s="14"/>
      <c r="H389" s="44"/>
      <c r="I389" s="16" t="s">
        <v>1105</v>
      </c>
    </row>
    <row r="390" spans="1:9" ht="165.75">
      <c r="A390" s="17">
        <v>43418</v>
      </c>
      <c r="B390" s="6" t="str">
        <f>HYPERLINK("http://www.acls.org/","American Council of Learned Societies")</f>
        <v>American Council of Learned Societies</v>
      </c>
      <c r="C390" s="24" t="s">
        <v>14</v>
      </c>
      <c r="D390" s="6" t="str">
        <f>HYPERLINK("http://www.acls.org/programs/buddhist-studies/#research","The Robert H. N. Ho Family Foundation Research Fellowships in Buddhist Studies
")</f>
        <v xml:space="preserve">The Robert H. N. Ho Family Foundation Research Fellowships in Buddhist Studies
</v>
      </c>
      <c r="E390" s="22" t="s">
        <v>1268</v>
      </c>
      <c r="F390" s="10" t="s">
        <v>1269</v>
      </c>
      <c r="G390" s="14"/>
      <c r="H390" s="19" t="s">
        <v>1270</v>
      </c>
      <c r="I390" s="26" t="s">
        <v>1271</v>
      </c>
    </row>
    <row r="391" spans="1:9" ht="102">
      <c r="A391" s="5">
        <v>43419</v>
      </c>
      <c r="B391" s="6" t="str">
        <f>HYPERLINK("https://asecsoffice.wixsite.com/asecsoffice","American Society for Eighteenth Century Studies (ASECS)")</f>
        <v>American Society for Eighteenth Century Studies (ASECS)</v>
      </c>
      <c r="C391" s="15" t="s">
        <v>8</v>
      </c>
      <c r="D391" s="8" t="s">
        <v>27</v>
      </c>
      <c r="E391" s="9" t="s">
        <v>15</v>
      </c>
      <c r="F391" s="10" t="s">
        <v>19</v>
      </c>
      <c r="G391" s="14"/>
      <c r="H391" s="19">
        <v>1000</v>
      </c>
      <c r="I391" s="16" t="s">
        <v>28</v>
      </c>
    </row>
    <row r="392" spans="1:9" ht="242.25">
      <c r="A392" s="5">
        <v>43419</v>
      </c>
      <c r="B392" s="6" t="str">
        <f>HYPERLINK("https://www.sns.ias.edu/","Institute for Advanced Study (IAS), School of Natural Sciences")</f>
        <v>Institute for Advanced Study (IAS), School of Natural Sciences</v>
      </c>
      <c r="C392" s="7" t="s">
        <v>8</v>
      </c>
      <c r="D392" s="8" t="s">
        <v>295</v>
      </c>
      <c r="E392" s="9" t="s">
        <v>60</v>
      </c>
      <c r="F392" s="10" t="s">
        <v>163</v>
      </c>
      <c r="G392" s="14"/>
      <c r="H392" s="44"/>
      <c r="I392" s="16" t="s">
        <v>296</v>
      </c>
    </row>
    <row r="393" spans="1:9" ht="63.75">
      <c r="A393" s="5">
        <v>43419</v>
      </c>
      <c r="B393" s="6" t="str">
        <f>HYPERLINK("http://www.huntington.org/","Huntington")</f>
        <v>Huntington</v>
      </c>
      <c r="C393" s="50" t="s">
        <v>183</v>
      </c>
      <c r="D393" s="51" t="str">
        <f>HYPERLINK("http://www.huntington.org/WebAssets/Templates/content.aspx?id=21991","Dibner Program in the History of Science")</f>
        <v>Dibner Program in the History of Science</v>
      </c>
      <c r="E393" s="9" t="s">
        <v>15</v>
      </c>
      <c r="F393" s="10" t="s">
        <v>367</v>
      </c>
      <c r="G393" s="44"/>
      <c r="H393" s="14" t="s">
        <v>383</v>
      </c>
      <c r="I393" s="16" t="s">
        <v>384</v>
      </c>
    </row>
    <row r="394" spans="1:9" ht="127.5">
      <c r="A394" s="17">
        <v>43419</v>
      </c>
      <c r="B394" s="6" t="str">
        <f>HYPERLINK("http://www.hrc.utexas.edu/","Harry Ransom Center- UT Austin")</f>
        <v>Harry Ransom Center- UT Austin</v>
      </c>
      <c r="C394" s="7" t="s">
        <v>8</v>
      </c>
      <c r="D394" s="6" t="str">
        <f>HYPERLINK("http://www.hrc.utexas.edu/research/fellowships/","Research Fellowships ")</f>
        <v>Research Fellowships </v>
      </c>
      <c r="E394" s="9" t="s">
        <v>159</v>
      </c>
      <c r="F394" s="22" t="s">
        <v>350</v>
      </c>
      <c r="G394" s="22"/>
      <c r="H394" s="10" t="s">
        <v>436</v>
      </c>
      <c r="I394" s="16" t="s">
        <v>437</v>
      </c>
    </row>
    <row r="395" spans="1:9" ht="178.5">
      <c r="A395" s="5">
        <v>43419</v>
      </c>
      <c r="B395" s="6" t="str">
        <f>HYPERLINK("http://www.huntington.org/","Huntington")</f>
        <v>Huntington</v>
      </c>
      <c r="C395" s="15" t="s">
        <v>183</v>
      </c>
      <c r="D395" s="8" t="s">
        <v>329</v>
      </c>
      <c r="E395" s="9" t="s">
        <v>10</v>
      </c>
      <c r="F395" s="10" t="s">
        <v>367</v>
      </c>
      <c r="G395" s="14"/>
      <c r="H395" s="44" t="s">
        <v>383</v>
      </c>
      <c r="I395" s="16" t="s">
        <v>530</v>
      </c>
    </row>
    <row r="396" spans="1:9" ht="153">
      <c r="A396" s="5">
        <v>43419</v>
      </c>
      <c r="B396" s="8" t="str">
        <f>HYPERLINK("https://www.nsf.gov/","National Science Foundation")</f>
        <v>National Science Foundation</v>
      </c>
      <c r="C396" s="15" t="s">
        <v>65</v>
      </c>
      <c r="D396" s="23" t="str">
        <f>HYPERLINK("https://www.nsf.gov/funding/pgm_summ.jsp?pims_id=13630","Astronomy and Astrophyics Grants")</f>
        <v>Astronomy and Astrophyics Grants</v>
      </c>
      <c r="E396" s="9" t="s">
        <v>101</v>
      </c>
      <c r="F396" s="10" t="s">
        <v>947</v>
      </c>
      <c r="G396" s="14"/>
      <c r="H396" s="10"/>
      <c r="I396" s="47" t="s">
        <v>1165</v>
      </c>
    </row>
    <row r="397" spans="1:9" ht="165.75">
      <c r="A397" s="5">
        <v>43419</v>
      </c>
      <c r="B397" s="6" t="str">
        <f>HYPERLINK("http://www.apa.org/apf/","American Psychological Association")</f>
        <v>American Psychological Association</v>
      </c>
      <c r="C397" s="15" t="s">
        <v>14</v>
      </c>
      <c r="D397" s="8" t="s">
        <v>1323</v>
      </c>
      <c r="E397" s="9" t="s">
        <v>105</v>
      </c>
      <c r="F397" s="10" t="s">
        <v>1321</v>
      </c>
      <c r="G397" s="44"/>
      <c r="H397" s="44"/>
      <c r="I397" s="16" t="s">
        <v>1324</v>
      </c>
    </row>
    <row r="398" spans="1:9" ht="114.75">
      <c r="A398" s="5">
        <v>43419</v>
      </c>
      <c r="B398" s="6" t="str">
        <f>HYPERLINK("http://www.asianculturalcouncil.org/","Asian Cultural Council")</f>
        <v>Asian Cultural Council</v>
      </c>
      <c r="C398" s="7" t="s">
        <v>14</v>
      </c>
      <c r="D398" s="8" t="s">
        <v>1349</v>
      </c>
      <c r="E398" s="22" t="s">
        <v>559</v>
      </c>
      <c r="F398" s="10"/>
      <c r="G398" s="44"/>
      <c r="H398" s="44"/>
      <c r="I398" s="47" t="s">
        <v>1350</v>
      </c>
    </row>
    <row r="399" spans="1:9" ht="127.5">
      <c r="A399" s="31">
        <v>43420</v>
      </c>
      <c r="B399" s="32" t="str">
        <f>HYPERLINK("https://classicalstudies.org/","Society for Classical Studies")</f>
        <v>Society for Classical Studies</v>
      </c>
      <c r="C399" s="59" t="s">
        <v>14</v>
      </c>
      <c r="D399" s="32" t="str">
        <f>HYPERLINK("https://classicalstudies.org/awards-and-fellowships/thesaurus-linguae-latinae-tll-fellowship","Thesaurus Linguae Latinae Fellowship")</f>
        <v>Thesaurus Linguae Latinae Fellowship</v>
      </c>
      <c r="E399" s="34" t="s">
        <v>156</v>
      </c>
      <c r="F399" s="36" t="s">
        <v>157</v>
      </c>
      <c r="G399" s="36"/>
      <c r="H399" s="37">
        <v>50400</v>
      </c>
      <c r="I399" s="38" t="s">
        <v>158</v>
      </c>
    </row>
    <row r="400" spans="1:9" ht="204">
      <c r="A400" s="21">
        <v>43423</v>
      </c>
      <c r="B400" s="6" t="str">
        <f>HYPERLINK("http://puffinwest.org/","Puffin Foundation West")</f>
        <v>Puffin Foundation West</v>
      </c>
      <c r="C400" s="7" t="s">
        <v>14</v>
      </c>
      <c r="D400" s="6" t="str">
        <f>HYPERLINK("http://puffinwest.org/grant-application/","Meaningful Art Grants")</f>
        <v>Meaningful Art Grants</v>
      </c>
      <c r="E400" s="9" t="s">
        <v>49</v>
      </c>
      <c r="F400" s="10" t="s">
        <v>833</v>
      </c>
      <c r="G400" s="14"/>
      <c r="H400" s="10" t="s">
        <v>862</v>
      </c>
      <c r="I400" s="16" t="s">
        <v>863</v>
      </c>
    </row>
    <row r="401" spans="1:9" ht="382.5">
      <c r="A401" s="95">
        <v>43423</v>
      </c>
      <c r="B401" s="96" t="str">
        <f>HYPERLINK("https://www.nsf.gov","National Science Foundation")</f>
        <v>National Science Foundation</v>
      </c>
      <c r="C401" s="97" t="s">
        <v>65</v>
      </c>
      <c r="D401" s="96" t="str">
        <f>HYPERLINK("https://www.nsf.gov/funding/pgm_summ.jsp?pims_id=13403&amp;WT.mc_id=USNSF_39&amp;WT.mc_ev=click","Opportunities for Promoting Understanding through Synthesis (OPUS)")</f>
        <v>Opportunities for Promoting Understanding through Synthesis (OPUS)</v>
      </c>
      <c r="E401" s="98" t="s">
        <v>1367</v>
      </c>
      <c r="F401" s="99"/>
      <c r="G401" s="99"/>
      <c r="H401" s="99"/>
      <c r="I401" s="100" t="s">
        <v>1368</v>
      </c>
    </row>
    <row r="402" spans="1:9" ht="153">
      <c r="A402" s="5">
        <v>43424</v>
      </c>
      <c r="B402" s="6" t="str">
        <f>HYPERLINK("http://isaw.nyu.edu/","New York University Institute for Study of the Ancient World")</f>
        <v>New York University Institute for Study of the Ancient World</v>
      </c>
      <c r="C402" s="15" t="s">
        <v>8</v>
      </c>
      <c r="D402" s="8" t="s">
        <v>385</v>
      </c>
      <c r="E402" s="9" t="s">
        <v>15</v>
      </c>
      <c r="F402" s="10" t="s">
        <v>350</v>
      </c>
      <c r="G402" s="14"/>
      <c r="H402" s="19">
        <v>71050</v>
      </c>
      <c r="I402" s="16" t="s">
        <v>386</v>
      </c>
    </row>
    <row r="403" spans="1:9" ht="382.5">
      <c r="A403" s="5">
        <v>43424</v>
      </c>
      <c r="B403" s="103" t="str">
        <f>HYPERLINK("http://www.bsf.org.il/BSFPublic/Default.aspx","United States-Israel Binational Science Foundation")</f>
        <v>United States-Israel Binational Science Foundation</v>
      </c>
      <c r="C403" s="7" t="s">
        <v>14</v>
      </c>
      <c r="D403" s="6" t="str">
        <f>HYPERLINK("http://www.bsf.org.il/data/FormsToDownload/BSF-Instructions%202018.pdf","Regular Program")</f>
        <v>Regular Program</v>
      </c>
      <c r="E403" s="9" t="s">
        <v>60</v>
      </c>
      <c r="F403" s="10" t="s">
        <v>947</v>
      </c>
      <c r="G403" s="44"/>
      <c r="H403" s="44" t="s">
        <v>1070</v>
      </c>
      <c r="I403" s="16" t="s">
        <v>1071</v>
      </c>
    </row>
    <row r="404" spans="1:9" ht="409.5">
      <c r="A404" s="17">
        <v>43425</v>
      </c>
      <c r="B404" s="8" t="str">
        <f>HYPERLINK("https://www.nsf.gov/","National Science Foundation")</f>
        <v>National Science Foundation</v>
      </c>
      <c r="C404" s="7" t="s">
        <v>65</v>
      </c>
      <c r="D404" s="23" t="str">
        <f>HYPERLINK("https://www.nsf.gov/funding/pgm_summ.jsp?pims_id=5269","Ecology and Evolution of Infectious Diseases")</f>
        <v>Ecology and Evolution of Infectious Diseases</v>
      </c>
      <c r="E404" s="9" t="s">
        <v>95</v>
      </c>
      <c r="F404" s="10" t="s">
        <v>947</v>
      </c>
      <c r="G404" s="14"/>
      <c r="H404" s="14"/>
      <c r="I404" s="16" t="s">
        <v>1134</v>
      </c>
    </row>
    <row r="405" spans="1:9" ht="191.25">
      <c r="A405" s="5">
        <v>43430</v>
      </c>
      <c r="B405" s="6" t="str">
        <f>HYPERLINK("https://www.amphilsoc.org","American Philosophical Society")</f>
        <v>American Philosophical Society</v>
      </c>
      <c r="C405" s="15" t="s">
        <v>14</v>
      </c>
      <c r="D405" s="6" t="str">
        <f>HYPERLINK("https://www.amphilsoc.org/grants/curatorialfellowship","Andrew W. Mellon Foundation Postdoctoral Curatorial Fellowship")</f>
        <v>Andrew W. Mellon Foundation Postdoctoral Curatorial Fellowship</v>
      </c>
      <c r="E405" s="9" t="s">
        <v>159</v>
      </c>
      <c r="F405" s="10" t="s">
        <v>350</v>
      </c>
      <c r="G405" s="14" t="s">
        <v>438</v>
      </c>
      <c r="H405" s="10" t="s">
        <v>439</v>
      </c>
      <c r="I405" s="16" t="s">
        <v>440</v>
      </c>
    </row>
    <row r="406" spans="1:9" ht="306">
      <c r="A406" s="5">
        <v>43431</v>
      </c>
      <c r="B406" s="8" t="str">
        <f>HYPERLINK("https://www.nsf.gov/","National Science Foundation")</f>
        <v>National Science Foundation</v>
      </c>
      <c r="C406" s="15" t="s">
        <v>65</v>
      </c>
      <c r="D406" s="23" t="str">
        <f>HYPERLINK("https://www.nsf.gov/funding/pgm_summ.jsp?pims_id=5147","Collaborative Research in Computational Neuroscience")</f>
        <v>Collaborative Research in Computational Neuroscience</v>
      </c>
      <c r="E406" s="9" t="s">
        <v>105</v>
      </c>
      <c r="F406" s="44" t="s">
        <v>947</v>
      </c>
      <c r="G406" s="44"/>
      <c r="H406" s="14"/>
      <c r="I406" s="16" t="s">
        <v>1184</v>
      </c>
    </row>
    <row r="407" spans="1:9" ht="153">
      <c r="A407" s="5">
        <v>43432</v>
      </c>
      <c r="B407" s="6" t="str">
        <f>HYPERLINK("nsf.gov","National Science Foundation")</f>
        <v>National Science Foundation</v>
      </c>
      <c r="C407" s="7" t="s">
        <v>65</v>
      </c>
      <c r="D407" s="6" t="str">
        <f>HYPERLINK("https://www.nsf.gov/pubs/2018/nsf18564/nsf18564.htm?WT.mc_id=USNSF_25&amp;WT.mc_ev=click","Directorate for Mathematical &amp; Physical Sciences")</f>
        <v>Directorate for Mathematical &amp; Physical Sciences</v>
      </c>
      <c r="E407" s="9" t="s">
        <v>1171</v>
      </c>
      <c r="F407" s="10" t="s">
        <v>947</v>
      </c>
      <c r="G407" s="10"/>
      <c r="H407" s="44" t="s">
        <v>1172</v>
      </c>
      <c r="I407" s="16" t="s">
        <v>1173</v>
      </c>
    </row>
    <row r="408" spans="1:9" ht="229.5">
      <c r="A408" s="5">
        <v>43433</v>
      </c>
      <c r="B408" s="30" t="str">
        <f>HYPERLINK("http://www.amielandmelburn.org.uk/","Barry Amiel and Norman Melburn Trust")</f>
        <v>Barry Amiel and Norman Melburn Trust</v>
      </c>
      <c r="C408" s="7" t="s">
        <v>14</v>
      </c>
      <c r="D408" s="8" t="s">
        <v>797</v>
      </c>
      <c r="E408" s="9" t="s">
        <v>40</v>
      </c>
      <c r="F408" s="10" t="s">
        <v>788</v>
      </c>
      <c r="G408" s="10"/>
      <c r="H408" s="44"/>
      <c r="I408" s="16" t="s">
        <v>798</v>
      </c>
    </row>
    <row r="409" spans="1:9" ht="140.25">
      <c r="A409" s="5">
        <v>43434</v>
      </c>
      <c r="B409" s="6" t="str">
        <f>HYPERLINK("http://www.russellsage.org/","Russell Sage Foundation")</f>
        <v>Russell Sage Foundation</v>
      </c>
      <c r="C409" s="7" t="s">
        <v>14</v>
      </c>
      <c r="D409" s="6" t="str">
        <f>HYPERLINK("http://www.russellsage.org/funding/immigration-and-immigrant-integration","Initiative on Immigration and Immigrant Integration")</f>
        <v>Initiative on Immigration and Immigrant Integration</v>
      </c>
      <c r="E409" s="9" t="s">
        <v>124</v>
      </c>
      <c r="F409" s="10" t="s">
        <v>980</v>
      </c>
      <c r="G409" s="10"/>
      <c r="H409" s="44" t="s">
        <v>1201</v>
      </c>
      <c r="I409" s="16" t="s">
        <v>1202</v>
      </c>
    </row>
    <row r="410" spans="1:9" ht="114.75">
      <c r="A410" s="5">
        <v>43434</v>
      </c>
      <c r="B410" s="6" t="str">
        <f>HYPERLINK("http://www.russellsage.org/","Russell Sage Foundation")</f>
        <v>Russell Sage Foundation</v>
      </c>
      <c r="C410" s="15" t="s">
        <v>14</v>
      </c>
      <c r="D410" s="6" t="str">
        <f>HYPERLINK("http://www.russellsage.org/call-proposals-computational-social-science","Computational Social Science")</f>
        <v>Computational Social Science</v>
      </c>
      <c r="E410" s="9" t="s">
        <v>124</v>
      </c>
      <c r="F410" s="10"/>
      <c r="G410" s="14"/>
      <c r="H410" s="10"/>
      <c r="I410" s="16" t="s">
        <v>1372</v>
      </c>
    </row>
    <row r="411" spans="1:9" ht="76.5">
      <c r="A411" s="31">
        <v>43435</v>
      </c>
      <c r="B411" s="32" t="str">
        <f>HYPERLINK("https://www.virginiahumanities.org/","Virginia Foundation for the Humanities")</f>
        <v>Virginia Foundation for the Humanities</v>
      </c>
      <c r="C411" s="59" t="s">
        <v>14</v>
      </c>
      <c r="D411" s="32" t="str">
        <f>HYPERLINK("https://www.virginiahumanities.org/fellowships/","Residential Fellowships")</f>
        <v>Residential Fellowships</v>
      </c>
      <c r="E411" s="34" t="s">
        <v>159</v>
      </c>
      <c r="F411" s="36" t="s">
        <v>157</v>
      </c>
      <c r="G411" s="36"/>
      <c r="H411" s="37"/>
      <c r="I411" s="38" t="s">
        <v>160</v>
      </c>
    </row>
    <row r="412" spans="1:9" ht="114.75">
      <c r="A412" s="5">
        <v>43435</v>
      </c>
      <c r="B412" s="6" t="str">
        <f>HYPERLINK("https://www.brown.edu/academics/libraries/john-carter-brown/","John Carter Brown Library")</f>
        <v>John Carter Brown Library</v>
      </c>
      <c r="C412" s="59" t="s">
        <v>8</v>
      </c>
      <c r="D412" s="6" t="str">
        <f>HYPERLINK("https://www.brown.edu/academics/libraries/john-carter-brown/fellowships/description-fellowship-program","Short-Term Fellowship")</f>
        <v>Short-Term Fellowship</v>
      </c>
      <c r="E412" s="9" t="s">
        <v>15</v>
      </c>
      <c r="F412" s="36" t="s">
        <v>157</v>
      </c>
      <c r="G412" s="10"/>
      <c r="H412" s="19" t="s">
        <v>188</v>
      </c>
      <c r="I412" s="40" t="s">
        <v>189</v>
      </c>
    </row>
    <row r="413" spans="1:9" ht="153">
      <c r="A413" s="5">
        <v>43435</v>
      </c>
      <c r="B413" s="6" t="str">
        <f>HYPERLINK("https://www.brown.edu/academics/libraries/john-carter-brown/","John Carter Brown Library")</f>
        <v>John Carter Brown Library</v>
      </c>
      <c r="C413" s="59" t="s">
        <v>8</v>
      </c>
      <c r="D413" s="6" t="str">
        <f>HYPERLINK("https://www.brown.edu/academics/libraries/john-carter-brown/fellowships/description-fellowship-program","Long-Term Fellowship")</f>
        <v>Long-Term Fellowship</v>
      </c>
      <c r="E413" s="9" t="s">
        <v>15</v>
      </c>
      <c r="F413" s="36" t="s">
        <v>157</v>
      </c>
      <c r="G413" s="10"/>
      <c r="H413" s="19" t="s">
        <v>190</v>
      </c>
      <c r="I413" s="40" t="s">
        <v>191</v>
      </c>
    </row>
    <row r="414" spans="1:9" ht="114.75">
      <c r="A414" s="31">
        <v>43435</v>
      </c>
      <c r="B414" s="32" t="str">
        <f>HYPERLINK("http://www.aisls.org/","American Institute for Sri Lankan Studies")</f>
        <v>American Institute for Sri Lankan Studies</v>
      </c>
      <c r="C414" s="59" t="s">
        <v>8</v>
      </c>
      <c r="D414" s="32" t="str">
        <f>HYPERLINK("http://www.aisls.org/grants/aisls-fellowship-program/","Fellowship Program")</f>
        <v>Fellowship Program</v>
      </c>
      <c r="E414" s="34" t="s">
        <v>227</v>
      </c>
      <c r="F414" s="36" t="s">
        <v>163</v>
      </c>
      <c r="G414" s="36"/>
      <c r="H414" s="37" t="s">
        <v>228</v>
      </c>
      <c r="I414" s="38" t="s">
        <v>229</v>
      </c>
    </row>
    <row r="415" spans="1:9" ht="127.5">
      <c r="A415" s="17">
        <v>43435</v>
      </c>
      <c r="B415" s="6" t="str">
        <f>HYPERLINK("https://history.princeton.edu/","Princeton History Dept")</f>
        <v>Princeton History Dept</v>
      </c>
      <c r="C415" s="15" t="s">
        <v>8</v>
      </c>
      <c r="D415" s="8" t="s">
        <v>163</v>
      </c>
      <c r="E415" s="9" t="s">
        <v>15</v>
      </c>
      <c r="F415" s="10" t="s">
        <v>350</v>
      </c>
      <c r="G415" s="14"/>
      <c r="H415" s="10" t="s">
        <v>387</v>
      </c>
      <c r="I415" s="16" t="s">
        <v>388</v>
      </c>
    </row>
    <row r="416" spans="1:9" ht="127.5">
      <c r="A416" s="5">
        <v>43435</v>
      </c>
      <c r="B416" s="6" t="str">
        <f>HYPERLINK("https://www.nypl.org","New York Public Library")</f>
        <v>New York Public Library</v>
      </c>
      <c r="C416" s="7" t="s">
        <v>183</v>
      </c>
      <c r="D416" s="8" t="s">
        <v>441</v>
      </c>
      <c r="E416" s="22" t="s">
        <v>159</v>
      </c>
      <c r="F416" s="10" t="s">
        <v>350</v>
      </c>
      <c r="G416" s="44"/>
      <c r="H416" s="44" t="s">
        <v>442</v>
      </c>
      <c r="I416" s="47" t="s">
        <v>443</v>
      </c>
    </row>
    <row r="417" spans="1:9" ht="63.75">
      <c r="A417" s="5">
        <v>43435</v>
      </c>
      <c r="B417" s="66" t="str">
        <f>HYPERLINK("https://www.fu-berlin.de/en/","Freie Universtat Berlin")</f>
        <v>Freie Universtat Berlin</v>
      </c>
      <c r="C417" s="15" t="s">
        <v>8</v>
      </c>
      <c r="D417" s="6" t="str">
        <f>HYPERLINK("https://www.fu-berlin.de/en/sites/bprogram/application/index.html","Fellowship")</f>
        <v>Fellowship</v>
      </c>
      <c r="E417" s="9" t="s">
        <v>569</v>
      </c>
      <c r="F417" s="10" t="s">
        <v>350</v>
      </c>
      <c r="G417" s="10"/>
      <c r="H417" s="19">
        <v>20000</v>
      </c>
      <c r="I417" s="16" t="s">
        <v>576</v>
      </c>
    </row>
    <row r="418" spans="1:9" ht="89.25">
      <c r="A418" s="5">
        <v>43435</v>
      </c>
      <c r="B418" s="6" t="str">
        <f>HYPERLINK("https://www.afar.org/","American Federation for Aging Research")</f>
        <v>American Federation for Aging Research</v>
      </c>
      <c r="C418" s="22" t="s">
        <v>14</v>
      </c>
      <c r="D418" s="64" t="str">
        <f>HYPERLINK("https://www.afar.org/research/funding/afar-research-grants/","Glenn Foundation for Medical Research and AFAR Grants for Junior Faculty")</f>
        <v>Glenn Foundation for Medical Research and AFAR Grants for Junior Faculty</v>
      </c>
      <c r="E418" s="9" t="s">
        <v>1135</v>
      </c>
      <c r="F418" s="9" t="s">
        <v>947</v>
      </c>
      <c r="G418" s="25" t="s">
        <v>1136</v>
      </c>
      <c r="H418" s="19" t="s">
        <v>1137</v>
      </c>
      <c r="I418" s="26" t="s">
        <v>1138</v>
      </c>
    </row>
    <row r="419" spans="1:9" ht="114.75">
      <c r="A419" s="17">
        <v>43435</v>
      </c>
      <c r="B419" s="6" t="str">
        <f>HYPERLINK("https://www.math.ias.edu/","Institute for Advanced Study (IAS), School of Mathematics")</f>
        <v>Institute for Advanced Study (IAS), School of Mathematics</v>
      </c>
      <c r="C419" s="7" t="s">
        <v>14</v>
      </c>
      <c r="D419" s="6" t="str">
        <f>HYPERLINK("https://www.math.ias.edu/administration/applications","Membership")</f>
        <v>Membership</v>
      </c>
      <c r="E419" s="22" t="s">
        <v>1144</v>
      </c>
      <c r="F419" s="10" t="s">
        <v>947</v>
      </c>
      <c r="G419" s="14"/>
      <c r="H419" s="19"/>
      <c r="I419" s="16" t="s">
        <v>1145</v>
      </c>
    </row>
    <row r="420" spans="1:9" ht="140.25">
      <c r="A420" s="21">
        <v>43435</v>
      </c>
      <c r="B420" s="6" t="str">
        <f>HYPERLINK("https://www.loc.gov/programs/john-w-kluge-center/about-this-program/","Kluge Center at the Library of Congress")</f>
        <v>Kluge Center at the Library of Congress</v>
      </c>
      <c r="C420" s="15" t="s">
        <v>65</v>
      </c>
      <c r="D420" s="6" t="str">
        <f>HYPERLINK("https://www.loc.gov/programs/john-w-kluge-center/chairs-fellowships/chairs/blumberg-nasa-chair-in-astrobiology/","Baruch S. Blumberg NASA/Library of Congress Chair in Astrobiology")</f>
        <v>Baruch S. Blumberg NASA/Library of Congress Chair in Astrobiology</v>
      </c>
      <c r="E420" s="22" t="s">
        <v>1356</v>
      </c>
      <c r="F420" s="10"/>
      <c r="G420" s="14"/>
      <c r="H420" s="19" t="s">
        <v>1357</v>
      </c>
      <c r="I420" s="16" t="s">
        <v>1358</v>
      </c>
    </row>
    <row r="421" spans="1:9" ht="76.5">
      <c r="A421" s="21">
        <v>43437</v>
      </c>
      <c r="B421" s="6" t="str">
        <f>HYPERLINK("https://www.amphilsoc.org/","American Philosophical Society")</f>
        <v>American Philosophical Society</v>
      </c>
      <c r="C421" s="7" t="s">
        <v>14</v>
      </c>
      <c r="D421" s="8" t="s">
        <v>346</v>
      </c>
      <c r="E421" s="22" t="s">
        <v>159</v>
      </c>
      <c r="F421" s="10" t="s">
        <v>344</v>
      </c>
      <c r="G421" s="14"/>
      <c r="H421" s="14"/>
      <c r="I421" s="16" t="s">
        <v>347</v>
      </c>
    </row>
    <row r="422" spans="1:9" ht="165.75">
      <c r="A422" s="21">
        <v>43437</v>
      </c>
      <c r="B422" s="6" t="str">
        <f>HYPERLINK("http://www.crassh.cam.ac.uk/","CRASSH Center for Research in the Arts, Social Sciences, and Humanities")</f>
        <v>CRASSH Center for Research in the Arts, Social Sciences, and Humanities</v>
      </c>
      <c r="C422" s="24" t="s">
        <v>14</v>
      </c>
      <c r="D422" s="8" t="s">
        <v>389</v>
      </c>
      <c r="E422" s="22" t="s">
        <v>15</v>
      </c>
      <c r="F422" s="44" t="s">
        <v>350</v>
      </c>
      <c r="G422" s="44"/>
      <c r="H422" s="44"/>
      <c r="I422" s="47" t="s">
        <v>390</v>
      </c>
    </row>
    <row r="423" spans="1:9" ht="127.5">
      <c r="A423" s="21">
        <v>43437</v>
      </c>
      <c r="B423" s="6" t="str">
        <f>HYPERLINK("https://woodrow.org/","Woodrow Wilson National Fellowship Foundation")</f>
        <v>Woodrow Wilson National Fellowship Foundation</v>
      </c>
      <c r="C423" s="24" t="s">
        <v>14</v>
      </c>
      <c r="D423" s="6" t="str">
        <f>HYPERLINK("https://woodrow.org/fellowships/nwmscholars/","Nancy Weiss Malkiel Scholars Award")</f>
        <v>Nancy Weiss Malkiel Scholars Award</v>
      </c>
      <c r="E423" s="22" t="s">
        <v>159</v>
      </c>
      <c r="F423" s="10" t="s">
        <v>716</v>
      </c>
      <c r="G423" s="14"/>
      <c r="H423" s="19">
        <v>17500</v>
      </c>
      <c r="I423" s="16" t="s">
        <v>717</v>
      </c>
    </row>
    <row r="424" spans="1:9" ht="165.75">
      <c r="A424" s="5">
        <v>43437</v>
      </c>
      <c r="B424" s="6" t="str">
        <f>HYPERLINK("http://us-jf.org/","United States-Japan Foundation")</f>
        <v>United States-Japan Foundation</v>
      </c>
      <c r="C424" s="7" t="s">
        <v>14</v>
      </c>
      <c r="D424" s="23" t="str">
        <f>HYPERLINK("http://www.usjlp.org/apply","Leadership Program")</f>
        <v>Leadership Program</v>
      </c>
      <c r="E424" s="9" t="s">
        <v>10</v>
      </c>
      <c r="F424" s="22" t="s">
        <v>788</v>
      </c>
      <c r="G424" s="9"/>
      <c r="H424" s="10"/>
      <c r="I424" s="47" t="s">
        <v>800</v>
      </c>
    </row>
    <row r="425" spans="1:9" ht="89.25">
      <c r="A425" s="5">
        <v>43439</v>
      </c>
      <c r="B425" s="6" t="str">
        <f>HYPERLINK("https://www.arts.gov/","National Endowment for the Arts")</f>
        <v>National Endowment for the Arts</v>
      </c>
      <c r="C425" s="7" t="s">
        <v>65</v>
      </c>
      <c r="D425" s="8" t="s">
        <v>655</v>
      </c>
      <c r="E425" s="22" t="s">
        <v>656</v>
      </c>
      <c r="F425" s="10" t="s">
        <v>657</v>
      </c>
      <c r="G425" s="12"/>
      <c r="H425" s="10" t="s">
        <v>658</v>
      </c>
      <c r="I425" s="16" t="s">
        <v>659</v>
      </c>
    </row>
    <row r="426" spans="1:9" ht="127.5">
      <c r="A426" s="17">
        <v>43439</v>
      </c>
      <c r="B426" s="6" t="str">
        <f>HYPERLINK("neh.gov","National Endowment for the Humanities")</f>
        <v>National Endowment for the Humanities</v>
      </c>
      <c r="C426" s="7" t="s">
        <v>65</v>
      </c>
      <c r="D426" s="8" t="s">
        <v>837</v>
      </c>
      <c r="E426" s="9" t="s">
        <v>656</v>
      </c>
      <c r="F426" s="10" t="s">
        <v>833</v>
      </c>
      <c r="G426" s="44"/>
      <c r="H426" s="10"/>
      <c r="I426" s="16" t="s">
        <v>838</v>
      </c>
    </row>
    <row r="427" spans="1:9" ht="229.5">
      <c r="A427" s="5">
        <v>43440</v>
      </c>
      <c r="B427" s="6" t="str">
        <f>HYPERLINK("https://camws.org/","Classical Association of the Middle West and South")</f>
        <v>Classical Association of the Middle West and South</v>
      </c>
      <c r="C427" s="15" t="s">
        <v>14</v>
      </c>
      <c r="D427" s="6" t="str">
        <f>HYPERLINK("https://camws.org/node/626","Faculty-Undergraduate Collaborative Research Projects")</f>
        <v>Faculty-Undergraduate Collaborative Research Projects</v>
      </c>
      <c r="E427" s="9" t="s">
        <v>705</v>
      </c>
      <c r="F427" s="44" t="s">
        <v>947</v>
      </c>
      <c r="G427" s="44"/>
      <c r="H427" s="19" t="s">
        <v>1230</v>
      </c>
      <c r="I427" s="16" t="s">
        <v>1231</v>
      </c>
    </row>
    <row r="428" spans="1:9" ht="140.25">
      <c r="A428" s="5">
        <v>43444</v>
      </c>
      <c r="B428" s="6" t="str">
        <f>HYPERLINK("https://www.mcknight.org/","McKnight Foundation")</f>
        <v>McKnight Foundation</v>
      </c>
      <c r="C428" s="15" t="s">
        <v>14</v>
      </c>
      <c r="D428" s="23" t="str">
        <f>HYPERLINK("https://www.mcknight.org/programs/the-mcknight-endowment-fund-for-neuroscience/technology-awards/","Technological Innovations in Neuroscience")</f>
        <v>Technological Innovations in Neuroscience</v>
      </c>
      <c r="E428" s="9" t="s">
        <v>105</v>
      </c>
      <c r="F428" s="10" t="s">
        <v>1295</v>
      </c>
      <c r="G428" s="10"/>
      <c r="H428" s="10" t="s">
        <v>1296</v>
      </c>
      <c r="I428" s="16" t="s">
        <v>1297</v>
      </c>
    </row>
    <row r="429" spans="1:9" ht="280.5">
      <c r="A429" s="5">
        <v>43445</v>
      </c>
      <c r="B429" s="6" t="str">
        <f>HYPERLINK("https://www.onr.navy.mil/en","Office of Naval Research")</f>
        <v>Office of Naval Research</v>
      </c>
      <c r="C429" s="7" t="s">
        <v>65</v>
      </c>
      <c r="D429" s="6" t="str">
        <f>HYPERLINK("https://www.nsf.gov/pubs/2018/nsf18541/nsf18541.htm","Smart and Connected Health (SCH) Connecting Data, People and Systems")</f>
        <v>Smart and Connected Health (SCH) Connecting Data, People and Systems</v>
      </c>
      <c r="E429" s="22" t="s">
        <v>60</v>
      </c>
      <c r="F429" s="10" t="s">
        <v>833</v>
      </c>
      <c r="G429" s="14"/>
      <c r="H429" s="10" t="s">
        <v>894</v>
      </c>
      <c r="I429" s="16" t="s">
        <v>895</v>
      </c>
    </row>
    <row r="430" spans="1:9" ht="114.75">
      <c r="A430" s="5">
        <v>43446</v>
      </c>
      <c r="B430" s="6" t="str">
        <f>HYPERLINK("https://www.onr.navy.mil/en","Office of Naval Research")</f>
        <v>Office of Naval Research</v>
      </c>
      <c r="C430" s="24" t="s">
        <v>65</v>
      </c>
      <c r="D430" s="6" t="str">
        <f>HYPERLINK("http://onroutreach-summer-faculty-research-sabbatical.com/summer-faculty-research-program","Summer Faculty Research Program")</f>
        <v>Summer Faculty Research Program</v>
      </c>
      <c r="E430" s="22" t="s">
        <v>60</v>
      </c>
      <c r="F430" s="22" t="s">
        <v>947</v>
      </c>
      <c r="G430" s="22"/>
      <c r="H430" s="14"/>
      <c r="I430" s="26" t="s">
        <v>1072</v>
      </c>
    </row>
    <row r="431" spans="1:9" ht="127.5">
      <c r="A431" s="5">
        <v>43449</v>
      </c>
      <c r="B431" s="6" t="str">
        <f>HYPERLINK("https://gruber.yale.edu/","Gruber Foundation")</f>
        <v>Gruber Foundation</v>
      </c>
      <c r="C431" s="24" t="s">
        <v>14</v>
      </c>
      <c r="D431" s="8" t="s">
        <v>78</v>
      </c>
      <c r="E431" s="9" t="s">
        <v>76</v>
      </c>
      <c r="F431" s="10" t="s">
        <v>19</v>
      </c>
      <c r="G431" s="14"/>
      <c r="H431" s="10"/>
      <c r="I431" s="16" t="s">
        <v>79</v>
      </c>
    </row>
    <row r="432" spans="1:9" ht="38.25">
      <c r="A432" s="5">
        <v>43449</v>
      </c>
      <c r="B432" s="6" t="str">
        <f>HYPERLINK("https://gruber.yale.edu/","Gruber Foundation")</f>
        <v>Gruber Foundation</v>
      </c>
      <c r="C432" s="15" t="s">
        <v>14</v>
      </c>
      <c r="D432" s="8" t="s">
        <v>114</v>
      </c>
      <c r="E432" s="9" t="s">
        <v>105</v>
      </c>
      <c r="F432" s="44" t="s">
        <v>19</v>
      </c>
      <c r="G432" s="44"/>
      <c r="H432" s="10"/>
      <c r="I432" s="16" t="s">
        <v>115</v>
      </c>
    </row>
    <row r="433" spans="1:9" ht="102">
      <c r="A433" s="5">
        <v>43449</v>
      </c>
      <c r="B433" s="6" t="str">
        <f>HYPERLINK("http://mcgovern.mit.edu","McGovern Institute")</f>
        <v>McGovern Institute</v>
      </c>
      <c r="C433" s="15" t="s">
        <v>8</v>
      </c>
      <c r="D433" s="8" t="s">
        <v>116</v>
      </c>
      <c r="E433" s="9" t="s">
        <v>105</v>
      </c>
      <c r="F433" s="10" t="s">
        <v>19</v>
      </c>
      <c r="G433" s="14"/>
      <c r="H433" s="44"/>
      <c r="I433" s="16" t="s">
        <v>117</v>
      </c>
    </row>
    <row r="434" spans="1:9" ht="63.75">
      <c r="A434" s="17">
        <v>43449</v>
      </c>
      <c r="B434" s="6" t="str">
        <f>HYPERLINK("https://www.newberry.org/","Newberry Library")</f>
        <v>Newberry Library</v>
      </c>
      <c r="C434" s="7" t="s">
        <v>14</v>
      </c>
      <c r="D434" s="8" t="s">
        <v>444</v>
      </c>
      <c r="E434" s="9" t="s">
        <v>159</v>
      </c>
      <c r="F434" s="44" t="s">
        <v>367</v>
      </c>
      <c r="G434" s="44"/>
      <c r="H434" s="10" t="s">
        <v>445</v>
      </c>
      <c r="I434" s="16" t="s">
        <v>446</v>
      </c>
    </row>
    <row r="435" spans="1:9" ht="102">
      <c r="A435" s="5">
        <v>43449</v>
      </c>
      <c r="B435" s="6" t="str">
        <f>HYPERLINK("https://www.gottliebfoundation.org","Gottleib Foundation")</f>
        <v>Gottleib Foundation</v>
      </c>
      <c r="C435" s="15" t="s">
        <v>14</v>
      </c>
      <c r="D435" s="8" t="s">
        <v>864</v>
      </c>
      <c r="E435" s="9" t="s">
        <v>49</v>
      </c>
      <c r="F435" s="44" t="s">
        <v>833</v>
      </c>
      <c r="G435" s="44"/>
      <c r="H435" s="10"/>
      <c r="I435" s="16" t="s">
        <v>865</v>
      </c>
    </row>
    <row r="436" spans="1:9" ht="102">
      <c r="A436" s="5">
        <v>43449</v>
      </c>
      <c r="B436" s="6" t="str">
        <f>HYPERLINK("http://delmas.org/","Gladys Krieble Delmas Foundation")</f>
        <v>Gladys Krieble Delmas Foundation</v>
      </c>
      <c r="C436" s="7" t="s">
        <v>14</v>
      </c>
      <c r="D436" s="8" t="s">
        <v>1013</v>
      </c>
      <c r="E436" s="9" t="s">
        <v>569</v>
      </c>
      <c r="F436" s="10" t="s">
        <v>947</v>
      </c>
      <c r="G436" s="44"/>
      <c r="H436" s="14"/>
      <c r="I436" s="16" t="s">
        <v>1014</v>
      </c>
    </row>
    <row r="437" spans="1:9" ht="102">
      <c r="A437" s="17">
        <v>43449</v>
      </c>
      <c r="B437" s="6" t="str">
        <f>HYPERLINK("http://www.asanet.org/","American Sociological Association")</f>
        <v>American Sociological Association</v>
      </c>
      <c r="C437" s="15" t="s">
        <v>14</v>
      </c>
      <c r="D437" s="23" t="str">
        <f>HYPERLINK("http://www.asanet.org/career-center/grants-and-fellowships/fund-advancement-discipline-fad","Fund for the Advancement of the Discipline")</f>
        <v>Fund for the Advancement of the Discipline</v>
      </c>
      <c r="E437" s="9" t="s">
        <v>748</v>
      </c>
      <c r="F437" s="10"/>
      <c r="G437" s="14"/>
      <c r="H437" s="14"/>
      <c r="I437" s="16" t="s">
        <v>1373</v>
      </c>
    </row>
    <row r="438" spans="1:9" ht="114.75">
      <c r="A438" s="5">
        <v>43451</v>
      </c>
      <c r="B438" s="6" t="str">
        <f>HYPERLINK("nsf.gov","National Science Foundation")</f>
        <v>National Science Foundation</v>
      </c>
      <c r="C438" s="7" t="s">
        <v>65</v>
      </c>
      <c r="D438" s="6" t="str">
        <f>HYPERLINK("https://www.nsf.gov/funding/pgm_summ.jsp?pims_id=5556","Statistics")</f>
        <v>Statistics</v>
      </c>
      <c r="E438" s="9" t="s">
        <v>101</v>
      </c>
      <c r="F438" s="10" t="s">
        <v>947</v>
      </c>
      <c r="G438" s="14"/>
      <c r="H438" s="14"/>
      <c r="I438" s="16" t="s">
        <v>1166</v>
      </c>
    </row>
    <row r="439" spans="1:9" ht="127.5">
      <c r="A439" s="5">
        <v>43465</v>
      </c>
      <c r="B439" s="6" t="str">
        <f>HYPERLINK("https://www.aacc.org/","American Association for Clinical Chemistry")</f>
        <v>American Association for Clinical Chemistry</v>
      </c>
      <c r="C439" s="7" t="s">
        <v>69</v>
      </c>
      <c r="D439" s="8" t="s">
        <v>86</v>
      </c>
      <c r="E439" s="9" t="s">
        <v>80</v>
      </c>
      <c r="F439" s="10" t="s">
        <v>19</v>
      </c>
      <c r="G439" s="14" t="s">
        <v>87</v>
      </c>
      <c r="H439" s="10"/>
      <c r="I439" s="16" t="s">
        <v>88</v>
      </c>
    </row>
    <row r="440" spans="1:9" ht="63.75">
      <c r="A440" s="5">
        <v>43465</v>
      </c>
      <c r="B440" s="6" t="str">
        <f>HYPERLINK("http://www.apa.org/apf/","American Psychological Association")</f>
        <v>American Psychological Association</v>
      </c>
      <c r="C440" s="7" t="s">
        <v>14</v>
      </c>
      <c r="D440" s="8" t="s">
        <v>118</v>
      </c>
      <c r="E440" s="22" t="s">
        <v>105</v>
      </c>
      <c r="F440" s="10" t="s">
        <v>19</v>
      </c>
      <c r="G440" s="44"/>
      <c r="H440" s="10"/>
      <c r="I440" s="16" t="s">
        <v>119</v>
      </c>
    </row>
    <row r="441" spans="1:9" ht="267.75">
      <c r="A441" s="5">
        <v>43465</v>
      </c>
      <c r="B441" s="6" t="str">
        <f>HYPERLINK("https://smlr.rutgers.edu/","Rutgers University")</f>
        <v>Rutgers University</v>
      </c>
      <c r="C441" s="15" t="s">
        <v>8</v>
      </c>
      <c r="D441" s="8" t="s">
        <v>310</v>
      </c>
      <c r="E441" s="9" t="s">
        <v>124</v>
      </c>
      <c r="F441" s="10" t="s">
        <v>163</v>
      </c>
      <c r="G441" s="14"/>
      <c r="H441" s="19">
        <v>12500</v>
      </c>
      <c r="I441" s="16" t="s">
        <v>311</v>
      </c>
    </row>
    <row r="442" spans="1:9" ht="229.5">
      <c r="A442" s="17">
        <v>43465</v>
      </c>
      <c r="B442" s="6" t="str">
        <f>HYPERLINK("https://smlr.rutgers.edu/","Rutgers University")</f>
        <v>Rutgers University</v>
      </c>
      <c r="C442" s="15" t="s">
        <v>312</v>
      </c>
      <c r="D442" s="6" t="str">
        <f>HYPERLINK("https://smlr.rutgers.edu/content/fellowships-professorships","Beyster Postdoctoral Fellowship")</f>
        <v>Beyster Postdoctoral Fellowship</v>
      </c>
      <c r="E442" s="9" t="s">
        <v>124</v>
      </c>
      <c r="F442" s="10" t="s">
        <v>163</v>
      </c>
      <c r="G442" s="44" t="s">
        <v>50</v>
      </c>
      <c r="H442" s="19">
        <v>25000</v>
      </c>
      <c r="I442" s="16" t="s">
        <v>313</v>
      </c>
    </row>
    <row r="443" spans="1:9" ht="89.25">
      <c r="A443" s="5">
        <v>43465</v>
      </c>
      <c r="B443" s="6" t="str">
        <f>HYPERLINK("http://teachpsych.org/","Society for the Teaching of Psychology")</f>
        <v>Society for the Teaching of Psychology</v>
      </c>
      <c r="C443" s="93" t="s">
        <v>14</v>
      </c>
      <c r="D443" s="94" t="str">
        <f>HYPERLINK("http://teachpsych.org/members/grants/ECPtravel.php","STP Early Career Travel Grant Program")</f>
        <v>STP Early Career Travel Grant Program</v>
      </c>
      <c r="E443" s="9" t="s">
        <v>132</v>
      </c>
      <c r="F443" s="22" t="s">
        <v>1299</v>
      </c>
      <c r="G443" s="44"/>
      <c r="H443" s="19">
        <v>500</v>
      </c>
      <c r="I443" s="16" t="s">
        <v>1313</v>
      </c>
    </row>
    <row r="444" spans="1:9" ht="216.75">
      <c r="A444" s="5">
        <v>43466</v>
      </c>
      <c r="B444" s="6" t="str">
        <f>HYPERLINK("https://asecs.press.jhu.edu/","American Society for Eighteenth-Century Studies")</f>
        <v>American Society for Eighteenth-Century Studies</v>
      </c>
      <c r="C444" s="7" t="s">
        <v>8</v>
      </c>
      <c r="D444" s="8" t="s">
        <v>44</v>
      </c>
      <c r="E444" s="9" t="s">
        <v>40</v>
      </c>
      <c r="F444" s="22" t="s">
        <v>19</v>
      </c>
      <c r="G444" s="22"/>
      <c r="H444" s="10"/>
      <c r="I444" s="16" t="s">
        <v>45</v>
      </c>
    </row>
    <row r="445" spans="1:9" ht="331.5">
      <c r="A445" s="5">
        <v>43466</v>
      </c>
      <c r="B445" s="6" t="str">
        <f>HYPERLINK("https://www.jsmf.org","James S. McDonnell Foundation")</f>
        <v>James S. McDonnell Foundation</v>
      </c>
      <c r="C445" s="41" t="s">
        <v>14</v>
      </c>
      <c r="D445" s="42" t="str">
        <f>HYPERLINK("https://www.jsmf.org/apply/teachers-as-learners/","Teachers as Learners")</f>
        <v>Teachers as Learners</v>
      </c>
      <c r="E445" s="9" t="s">
        <v>986</v>
      </c>
      <c r="F445" s="10" t="s">
        <v>947</v>
      </c>
      <c r="G445" s="10"/>
      <c r="H445" s="10" t="s">
        <v>987</v>
      </c>
      <c r="I445" s="16" t="s">
        <v>988</v>
      </c>
    </row>
    <row r="446" spans="1:9" ht="165.75">
      <c r="A446" s="5">
        <v>43466</v>
      </c>
      <c r="B446" s="6" t="str">
        <f>HYPERLINK("https://caves.org/","National Speleological Society")</f>
        <v>National Speleological Society</v>
      </c>
      <c r="C446" s="7" t="s">
        <v>14</v>
      </c>
      <c r="D446" s="6" t="str">
        <f>HYPERLINK("https://caves.org/grants/index.shtml","Int'l Exploration Grants")</f>
        <v>Int'l Exploration Grants</v>
      </c>
      <c r="E446" s="9" t="s">
        <v>76</v>
      </c>
      <c r="F446" s="10" t="s">
        <v>947</v>
      </c>
      <c r="G446" s="14"/>
      <c r="H446" s="14"/>
      <c r="I446" s="16" t="s">
        <v>1106</v>
      </c>
    </row>
    <row r="447" spans="1:9" ht="127.5">
      <c r="A447" s="5">
        <v>43467</v>
      </c>
      <c r="B447" s="6" t="str">
        <f>HYPERLINK("http://artomi.org/","Art Omi")</f>
        <v>Art Omi</v>
      </c>
      <c r="C447" s="15" t="s">
        <v>14</v>
      </c>
      <c r="D447" s="6" t="str">
        <f>HYPERLINK("http://45.55.141.4/residencies/art-omi-dance","Art Omi: Dance Residency")</f>
        <v>Art Omi: Dance Residency</v>
      </c>
      <c r="E447" s="9" t="s">
        <v>483</v>
      </c>
      <c r="F447" s="25" t="s">
        <v>350</v>
      </c>
      <c r="G447" s="25"/>
      <c r="H447" s="10" t="s">
        <v>481</v>
      </c>
      <c r="I447" s="16" t="s">
        <v>484</v>
      </c>
    </row>
    <row r="448" spans="1:9" ht="114.75">
      <c r="A448" s="17">
        <v>43467</v>
      </c>
      <c r="B448" s="6" t="str">
        <f>HYPERLINK("http://artomi.org/","Art Omi")</f>
        <v>Art Omi</v>
      </c>
      <c r="C448" s="24" t="s">
        <v>14</v>
      </c>
      <c r="D448" s="6" t="str">
        <f>HYPERLINK("http://45.55.141.4/residencies/art-omi-music","Art Omi: Music Residency")</f>
        <v>Art Omi: Music Residency</v>
      </c>
      <c r="E448" s="22" t="s">
        <v>485</v>
      </c>
      <c r="F448" s="25" t="s">
        <v>350</v>
      </c>
      <c r="G448" s="25"/>
      <c r="H448" s="14" t="s">
        <v>481</v>
      </c>
      <c r="I448" s="16" t="s">
        <v>486</v>
      </c>
    </row>
    <row r="449" spans="1:9" ht="114.75">
      <c r="A449" s="17">
        <v>43467</v>
      </c>
      <c r="B449" s="6" t="str">
        <f>HYPERLINK("https://www.sciencehistory.org/","Science History Institute")</f>
        <v>Science History Institute</v>
      </c>
      <c r="C449" s="24" t="s">
        <v>14</v>
      </c>
      <c r="D449" s="8" t="s">
        <v>329</v>
      </c>
      <c r="E449" s="22" t="s">
        <v>602</v>
      </c>
      <c r="F449" s="22" t="s">
        <v>367</v>
      </c>
      <c r="G449" s="22" t="s">
        <v>603</v>
      </c>
      <c r="H449" s="19" t="s">
        <v>604</v>
      </c>
      <c r="I449" s="16" t="s">
        <v>605</v>
      </c>
    </row>
    <row r="450" spans="1:9" ht="242.25">
      <c r="A450" s="71">
        <v>43468</v>
      </c>
      <c r="B450" s="6" t="str">
        <f>HYPERLINK("http://www.esherick-yefoundation.org/","Esherick-Ye Family Foundation")</f>
        <v>Esherick-Ye Family Foundation</v>
      </c>
      <c r="C450" s="24" t="s">
        <v>14</v>
      </c>
      <c r="D450" s="6" t="str">
        <f>HYPERLINK("http://www.esherick-yefoundation.org/grants/application-procedures/","Grants")</f>
        <v>Grants</v>
      </c>
      <c r="E450" s="9" t="s">
        <v>559</v>
      </c>
      <c r="F450" s="10" t="s">
        <v>947</v>
      </c>
      <c r="G450" s="14" t="s">
        <v>50</v>
      </c>
      <c r="H450" s="10" t="s">
        <v>1011</v>
      </c>
      <c r="I450" s="16" t="s">
        <v>1012</v>
      </c>
    </row>
    <row r="451" spans="1:9" ht="216.75">
      <c r="A451" s="5">
        <v>43471</v>
      </c>
      <c r="B451" s="6" t="str">
        <f>HYPERLINK("http://www.apa.org/apf/","American Psychological Association")</f>
        <v>American Psychological Association</v>
      </c>
      <c r="C451" s="15" t="s">
        <v>14</v>
      </c>
      <c r="D451" s="8" t="s">
        <v>611</v>
      </c>
      <c r="E451" s="9" t="s">
        <v>105</v>
      </c>
      <c r="F451" s="22" t="s">
        <v>350</v>
      </c>
      <c r="G451" s="22"/>
      <c r="H451" s="10" t="s">
        <v>612</v>
      </c>
      <c r="I451" s="16" t="s">
        <v>613</v>
      </c>
    </row>
    <row r="452" spans="1:9" ht="216.75">
      <c r="A452" s="21">
        <v>43472</v>
      </c>
      <c r="B452" s="6" t="str">
        <f>HYPERLINK("https://neuroscience.mcknight.org","McKnight Foundation")</f>
        <v>McKnight Foundation</v>
      </c>
      <c r="C452" s="7" t="s">
        <v>14</v>
      </c>
      <c r="D452" s="8" t="s">
        <v>120</v>
      </c>
      <c r="E452" s="9" t="s">
        <v>105</v>
      </c>
      <c r="F452" s="10" t="s">
        <v>19</v>
      </c>
      <c r="G452" s="12"/>
      <c r="H452" s="14"/>
      <c r="I452" s="16" t="s">
        <v>121</v>
      </c>
    </row>
    <row r="453" spans="1:9" ht="63.75">
      <c r="A453" s="5">
        <v>43472</v>
      </c>
      <c r="B453" s="6" t="str">
        <f>HYPERLINK("https://britishart.yale.edu/","Yale Center for British Art ")</f>
        <v xml:space="preserve">Yale Center for British Art </v>
      </c>
      <c r="C453" s="15"/>
      <c r="D453" s="8" t="s">
        <v>447</v>
      </c>
      <c r="E453" s="22" t="s">
        <v>159</v>
      </c>
      <c r="F453" s="44" t="s">
        <v>350</v>
      </c>
      <c r="G453" s="22"/>
      <c r="H453" s="10" t="s">
        <v>448</v>
      </c>
      <c r="I453" s="16" t="s">
        <v>449</v>
      </c>
    </row>
    <row r="454" spans="1:9" ht="63.75">
      <c r="A454" s="5">
        <v>43472</v>
      </c>
      <c r="B454" s="6" t="str">
        <f>HYPERLINK("http://parc-us-pal.org/","Palestinian American Research Center")</f>
        <v>Palestinian American Research Center</v>
      </c>
      <c r="C454" s="7" t="s">
        <v>14</v>
      </c>
      <c r="D454" s="6" t="str">
        <f>HYPERLINK("http://parc-us-pal.org/fellowship.htm","Fellowship for U.S. Scholars Conducting Field-Based Research on Palestine")</f>
        <v>Fellowship for U.S. Scholars Conducting Field-Based Research on Palestine</v>
      </c>
      <c r="E454" s="22" t="s">
        <v>580</v>
      </c>
      <c r="F454" s="44" t="s">
        <v>687</v>
      </c>
      <c r="G454" s="44"/>
      <c r="H454" s="10" t="s">
        <v>700</v>
      </c>
      <c r="I454" s="16" t="s">
        <v>701</v>
      </c>
    </row>
    <row r="455" spans="1:9" ht="306">
      <c r="A455" s="5">
        <v>43473</v>
      </c>
      <c r="B455" s="6" t="str">
        <f>HYPERLINK("https://www.wawh.org/","Western Association of Women Historians")</f>
        <v>Western Association of Women Historians</v>
      </c>
      <c r="C455" s="49" t="s">
        <v>14</v>
      </c>
      <c r="D455" s="20" t="s">
        <v>29</v>
      </c>
      <c r="E455" s="22" t="s">
        <v>15</v>
      </c>
      <c r="F455" s="22" t="s">
        <v>19</v>
      </c>
      <c r="G455" s="21"/>
      <c r="H455" s="14"/>
      <c r="I455" s="16" t="s">
        <v>30</v>
      </c>
    </row>
    <row r="456" spans="1:9" ht="153">
      <c r="A456" s="102">
        <v>43473</v>
      </c>
      <c r="B456" s="6" t="str">
        <f>HYPERLINK("http://www.apa.org/apf/index.aspx","Brain Research Foundation")</f>
        <v>Brain Research Foundation</v>
      </c>
      <c r="C456" s="7" t="s">
        <v>14</v>
      </c>
      <c r="D456" s="8" t="s">
        <v>1185</v>
      </c>
      <c r="E456" s="9" t="s">
        <v>105</v>
      </c>
      <c r="F456" s="44" t="s">
        <v>947</v>
      </c>
      <c r="G456" s="12"/>
      <c r="H456" s="14"/>
      <c r="I456" s="26" t="s">
        <v>1186</v>
      </c>
    </row>
    <row r="457" spans="1:9" ht="63.75">
      <c r="A457" s="5">
        <v>43475</v>
      </c>
      <c r="B457" s="6" t="str">
        <f>HYPERLINK("https://leakeyfoundation.org/","Leakey Foundation")</f>
        <v>Leakey Foundation</v>
      </c>
      <c r="C457" s="7" t="s">
        <v>14</v>
      </c>
      <c r="D457" s="8" t="s">
        <v>984</v>
      </c>
      <c r="E457" s="9" t="s">
        <v>10</v>
      </c>
      <c r="F457" s="44" t="s">
        <v>947</v>
      </c>
      <c r="G457" s="44"/>
      <c r="H457" s="14" t="s">
        <v>769</v>
      </c>
      <c r="I457" s="26" t="s">
        <v>1001</v>
      </c>
    </row>
    <row r="458" spans="1:9" ht="102">
      <c r="A458" s="31">
        <v>43478</v>
      </c>
      <c r="B458" s="32" t="str">
        <f>HYPERLINK("https://www.oxcis.ac.uk/","Oxford Centre for Islamic Studies")</f>
        <v>Oxford Centre for Islamic Studies</v>
      </c>
      <c r="C458" s="59" t="s">
        <v>8</v>
      </c>
      <c r="D458" s="32" t="str">
        <f>HYPERLINK("https://www.oxcis.ac.uk/visiting-fellowships-0","Visiting Fellowships")</f>
        <v>Visiting Fellowships</v>
      </c>
      <c r="E458" s="34" t="s">
        <v>213</v>
      </c>
      <c r="F458" s="36" t="s">
        <v>163</v>
      </c>
      <c r="G458" s="36" t="s">
        <v>214</v>
      </c>
      <c r="H458" s="36" t="s">
        <v>215</v>
      </c>
      <c r="I458" s="38" t="s">
        <v>216</v>
      </c>
    </row>
    <row r="459" spans="1:9" ht="255">
      <c r="A459" s="5">
        <v>43479</v>
      </c>
      <c r="B459" s="27" t="str">
        <f>HYPERLINK("http://hcl.harvard.edu/index.cfm","Harvard College Library")</f>
        <v>Harvard College Library</v>
      </c>
      <c r="C459" s="15" t="s">
        <v>8</v>
      </c>
      <c r="D459" s="23" t="str">
        <f>HYPERLINK("https://library.harvard.edu/about/grants-fellowships/houghton-library-visiting-fellowships","Visiting Fellowships")</f>
        <v>Visiting Fellowships</v>
      </c>
      <c r="E459" s="9" t="s">
        <v>15</v>
      </c>
      <c r="F459" s="44" t="s">
        <v>350</v>
      </c>
      <c r="G459" s="44"/>
      <c r="H459" s="19">
        <v>3600</v>
      </c>
      <c r="I459" s="16" t="s">
        <v>391</v>
      </c>
    </row>
    <row r="460" spans="1:9" ht="229.5">
      <c r="A460" s="5">
        <v>43479</v>
      </c>
      <c r="B460" s="6" t="str">
        <f>HYPERLINK("http://hcl.harvard.edu/","Harvard University")</f>
        <v>Harvard University</v>
      </c>
      <c r="C460" s="15" t="s">
        <v>8</v>
      </c>
      <c r="D460" s="23" t="str">
        <f>HYPERLINK("https://library.harvard.edu/about/grants-fellowships/woodberry-poetry-room-fellowship","Woodberry Poetry Room Creative Fellowship")</f>
        <v>Woodberry Poetry Room Creative Fellowship</v>
      </c>
      <c r="E460" s="22" t="s">
        <v>366</v>
      </c>
      <c r="F460" s="44" t="s">
        <v>350</v>
      </c>
      <c r="G460" s="44"/>
      <c r="H460" s="19">
        <v>4000</v>
      </c>
      <c r="I460" s="16" t="s">
        <v>476</v>
      </c>
    </row>
    <row r="461" spans="1:9" ht="102">
      <c r="A461" s="5">
        <v>43479</v>
      </c>
      <c r="B461" s="6" t="str">
        <f>HYPERLINK("http://www.huri.harvard.edu/","Ukranian Research institute Harvard University ")</f>
        <v xml:space="preserve">Ukranian Research institute Harvard University </v>
      </c>
      <c r="C461" s="15" t="s">
        <v>8</v>
      </c>
      <c r="D461" s="8" t="s">
        <v>562</v>
      </c>
      <c r="E461" s="22" t="s">
        <v>563</v>
      </c>
      <c r="F461" s="44" t="s">
        <v>350</v>
      </c>
      <c r="G461" s="44" t="s">
        <v>564</v>
      </c>
      <c r="H461" s="14" t="s">
        <v>565</v>
      </c>
      <c r="I461" s="16" t="s">
        <v>566</v>
      </c>
    </row>
    <row r="462" spans="1:9" ht="89.25">
      <c r="A462" s="5">
        <v>43480</v>
      </c>
      <c r="B462" s="6" t="str">
        <f>HYPERLINK("http://www.cattell.duke.edu/","Cattell Fund, Duke Univeristy")</f>
        <v>Cattell Fund, Duke Univeristy</v>
      </c>
      <c r="C462" s="24" t="s">
        <v>8</v>
      </c>
      <c r="D462" s="6" t="str">
        <f>HYPERLINK("http://www.cattell.duke.edu/","Fellowships")</f>
        <v>Fellowships</v>
      </c>
      <c r="E462" s="9" t="s">
        <v>132</v>
      </c>
      <c r="F462" s="10" t="s">
        <v>157</v>
      </c>
      <c r="G462" s="14"/>
      <c r="H462" s="19"/>
      <c r="I462" s="40" t="s">
        <v>299</v>
      </c>
    </row>
    <row r="463" spans="1:9" ht="38.25">
      <c r="A463" s="5">
        <v>43480</v>
      </c>
      <c r="B463" s="6" t="str">
        <f>HYPERLINK("http://www.americanantiquarian.org/","American Antiquarian Society")</f>
        <v>American Antiquarian Society</v>
      </c>
      <c r="C463" s="15" t="s">
        <v>69</v>
      </c>
      <c r="D463" s="6" t="str">
        <f>HYPERLINK("http://www.americanantiquarian.org/longterm.htm","AAS-National Endowment for the Humanities Long-Term Fellowships")</f>
        <v>AAS-National Endowment for the Humanities Long-Term Fellowships</v>
      </c>
      <c r="E463" s="9" t="s">
        <v>159</v>
      </c>
      <c r="F463" s="10" t="s">
        <v>350</v>
      </c>
      <c r="G463" s="14"/>
      <c r="H463" s="14" t="s">
        <v>353</v>
      </c>
      <c r="I463" s="16" t="s">
        <v>354</v>
      </c>
    </row>
    <row r="464" spans="1:9" ht="102">
      <c r="A464" s="5">
        <v>43480</v>
      </c>
      <c r="B464" s="6" t="str">
        <f>HYPERLINK("https://www.si.edu/","Smithsonian Institution")</f>
        <v>Smithsonian Institution</v>
      </c>
      <c r="C464" s="7" t="s">
        <v>65</v>
      </c>
      <c r="D464" s="6" t="str">
        <f>HYPERLINK("https://www.smithsonianofi.com/the-margaret-henry-dabney-penick-resident-scholar-program/","Margaret Henry Dabney Penick Resident Scholar Program")</f>
        <v>Margaret Henry Dabney Penick Resident Scholar Program</v>
      </c>
      <c r="E464" s="9" t="s">
        <v>15</v>
      </c>
      <c r="F464" s="44" t="s">
        <v>350</v>
      </c>
      <c r="G464" s="44"/>
      <c r="H464" s="19" t="s">
        <v>392</v>
      </c>
      <c r="I464" s="26" t="s">
        <v>393</v>
      </c>
    </row>
    <row r="465" spans="1:9" ht="102">
      <c r="A465" s="5">
        <v>43480</v>
      </c>
      <c r="B465" s="6" t="str">
        <f>HYPERLINK("http://www.winterthur.org/","Winterthur ")</f>
        <v xml:space="preserve">Winterthur </v>
      </c>
      <c r="C465" s="7" t="s">
        <v>14</v>
      </c>
      <c r="D465" s="8" t="s">
        <v>450</v>
      </c>
      <c r="E465" s="9" t="s">
        <v>159</v>
      </c>
      <c r="F465" s="44" t="s">
        <v>350</v>
      </c>
      <c r="G465" s="44"/>
      <c r="H465" s="14" t="s">
        <v>451</v>
      </c>
      <c r="I465" s="16" t="s">
        <v>452</v>
      </c>
    </row>
    <row r="466" spans="1:9" ht="63.75">
      <c r="A466" s="17">
        <v>43480</v>
      </c>
      <c r="B466" s="6" t="str">
        <f>HYPERLINK("http://www.macdowellcolony.org/","MacDowell Colony")</f>
        <v>MacDowell Colony</v>
      </c>
      <c r="C466" s="7" t="s">
        <v>14</v>
      </c>
      <c r="D466" s="6" t="str">
        <f>HYPERLINK("http://www.macdowellcolony.org/apply","Residencies")</f>
        <v>Residencies</v>
      </c>
      <c r="E466" s="9" t="s">
        <v>366</v>
      </c>
      <c r="F466" s="10" t="s">
        <v>350</v>
      </c>
      <c r="G466" s="14"/>
      <c r="H466" s="10"/>
      <c r="I466" s="16" t="s">
        <v>477</v>
      </c>
    </row>
    <row r="467" spans="1:9" ht="165.75">
      <c r="A467" s="5">
        <v>43480</v>
      </c>
      <c r="B467" s="6" t="str">
        <f>HYPERLINK("http://www.winterthur.org/","Winterthur ")</f>
        <v xml:space="preserve">Winterthur </v>
      </c>
      <c r="C467" s="15" t="s">
        <v>14</v>
      </c>
      <c r="D467" s="23" t="str">
        <f>HYPERLINK("http://www.winterthur.org/?p=1311","Maker-Creator Fellowship")</f>
        <v>Maker-Creator Fellowship</v>
      </c>
      <c r="E467" s="9" t="s">
        <v>366</v>
      </c>
      <c r="F467" s="10" t="s">
        <v>350</v>
      </c>
      <c r="G467" s="14"/>
      <c r="H467" s="10" t="s">
        <v>451</v>
      </c>
      <c r="I467" s="16" t="s">
        <v>478</v>
      </c>
    </row>
    <row r="468" spans="1:9" ht="89.25">
      <c r="A468" s="5">
        <v>43480</v>
      </c>
      <c r="B468" s="6" t="str">
        <f>HYPERLINK("http://www.archives.nysed.gov/","New York State Archives")</f>
        <v>New York State Archives</v>
      </c>
      <c r="C468" s="15" t="s">
        <v>65</v>
      </c>
      <c r="D468" s="105" t="s">
        <v>531</v>
      </c>
      <c r="E468" s="9" t="s">
        <v>10</v>
      </c>
      <c r="F468" s="22" t="s">
        <v>350</v>
      </c>
      <c r="G468" s="22"/>
      <c r="H468" s="19">
        <v>250</v>
      </c>
      <c r="I468" s="16" t="s">
        <v>532</v>
      </c>
    </row>
    <row r="469" spans="1:9" ht="127.5">
      <c r="A469" s="67">
        <v>43480</v>
      </c>
      <c r="B469" s="6" t="str">
        <f>HYPERLINK("http://archive.arce.org/","American Research Center in Egypt")</f>
        <v>American Research Center in Egypt</v>
      </c>
      <c r="C469" s="15" t="s">
        <v>65</v>
      </c>
      <c r="D469" s="6" t="str">
        <f>HYPERLINK("http://archive.arce.org/grants/fellowships/funded","Fellowship")</f>
        <v>Fellowship</v>
      </c>
      <c r="E469" s="9" t="s">
        <v>580</v>
      </c>
      <c r="F469" s="44" t="s">
        <v>350</v>
      </c>
      <c r="G469" s="44"/>
      <c r="H469" s="10" t="s">
        <v>590</v>
      </c>
      <c r="I469" s="16" t="s">
        <v>591</v>
      </c>
    </row>
    <row r="470" spans="1:9" ht="204">
      <c r="A470" s="5">
        <v>43480</v>
      </c>
      <c r="B470" s="6" t="str">
        <f>HYPERLINK("https://www.aps.org/","American Physical Society")</f>
        <v>American Physical Society</v>
      </c>
      <c r="C470" s="15" t="s">
        <v>14</v>
      </c>
      <c r="D470" s="8" t="s">
        <v>606</v>
      </c>
      <c r="E470" s="9" t="s">
        <v>101</v>
      </c>
      <c r="F470" s="10" t="s">
        <v>350</v>
      </c>
      <c r="G470" s="12"/>
      <c r="H470" s="10"/>
      <c r="I470" s="16" t="s">
        <v>607</v>
      </c>
    </row>
    <row r="471" spans="1:9" ht="255">
      <c r="A471" s="5">
        <v>43480</v>
      </c>
      <c r="B471" s="6" t="str">
        <f>HYPERLINK("https://asecs.press.jhu.edu/","Johns Hopkins American Society for Eighteenth-Century Studies")</f>
        <v>Johns Hopkins American Society for Eighteenth-Century Studies</v>
      </c>
      <c r="C471" s="7" t="s">
        <v>8</v>
      </c>
      <c r="D471" s="8" t="s">
        <v>660</v>
      </c>
      <c r="E471" s="9" t="s">
        <v>656</v>
      </c>
      <c r="F471" s="10" t="s">
        <v>657</v>
      </c>
      <c r="G471" s="12"/>
      <c r="H471" s="19">
        <v>1000</v>
      </c>
      <c r="I471" s="16" t="s">
        <v>661</v>
      </c>
    </row>
    <row r="472" spans="1:9" ht="153">
      <c r="A472" s="17">
        <v>43480</v>
      </c>
      <c r="B472" s="6" t="str">
        <f>HYPERLINK("http://www.kressfoundation.org/","Kress Foundation")</f>
        <v>Kress Foundation</v>
      </c>
      <c r="C472" s="7" t="s">
        <v>14</v>
      </c>
      <c r="D472" s="8" t="s">
        <v>899</v>
      </c>
      <c r="E472" s="9" t="s">
        <v>177</v>
      </c>
      <c r="F472" s="10" t="s">
        <v>900</v>
      </c>
      <c r="G472" s="12"/>
      <c r="H472" s="10"/>
      <c r="I472" s="16" t="s">
        <v>901</v>
      </c>
    </row>
    <row r="473" spans="1:9" ht="191.25">
      <c r="A473" s="17">
        <v>43480</v>
      </c>
      <c r="B473" s="6" t="str">
        <f>HYPERLINK("https://www.nsf.gov/","National Science Foundation")</f>
        <v>National Science Foundation</v>
      </c>
      <c r="C473" s="7" t="s">
        <v>65</v>
      </c>
      <c r="D473" s="6" t="str">
        <f>HYPERLINK("https://www.nsf.gov/funding/pgm_summ.jsp?pims_id=5265&amp;WT.mc_id=USNSF_39&amp;WT.mc_ev=click","Research on the Science and Technology Enterprise:  Statistics and Surveys")</f>
        <v>Research on the Science and Technology Enterprise:  Statistics and Surveys</v>
      </c>
      <c r="E473" s="9" t="s">
        <v>60</v>
      </c>
      <c r="F473" s="10" t="s">
        <v>947</v>
      </c>
      <c r="G473" s="14"/>
      <c r="H473" s="10"/>
      <c r="I473" s="16" t="s">
        <v>1073</v>
      </c>
    </row>
    <row r="474" spans="1:9" ht="216.75">
      <c r="A474" s="5">
        <v>43480</v>
      </c>
      <c r="B474" s="104" t="str">
        <f>HYPERLINK("https://www.nsf.gov/","National Science Foundation")</f>
        <v>National Science Foundation</v>
      </c>
      <c r="C474" s="15" t="s">
        <v>65</v>
      </c>
      <c r="D474" s="6" t="str">
        <f>HYPERLINK("https://www.nsf.gov/funding/pgm_summ.jsp?pims_id=8671","Developmental Science")</f>
        <v>Developmental Science</v>
      </c>
      <c r="E474" s="9" t="s">
        <v>105</v>
      </c>
      <c r="F474" s="10" t="s">
        <v>947</v>
      </c>
      <c r="G474" s="14"/>
      <c r="H474" s="10" t="s">
        <v>155</v>
      </c>
      <c r="I474" s="16" t="s">
        <v>1187</v>
      </c>
    </row>
    <row r="475" spans="1:9" ht="216.75">
      <c r="A475" s="5">
        <v>43480</v>
      </c>
      <c r="B475" s="6" t="str">
        <f>HYPERLINK("NSf.gov","National Science Foundation")</f>
        <v>National Science Foundation</v>
      </c>
      <c r="C475" s="15" t="s">
        <v>65</v>
      </c>
      <c r="D475" s="8" t="s">
        <v>1203</v>
      </c>
      <c r="E475" s="9" t="s">
        <v>124</v>
      </c>
      <c r="F475" s="44" t="s">
        <v>947</v>
      </c>
      <c r="G475" s="44"/>
      <c r="H475" s="14"/>
      <c r="I475" s="16" t="s">
        <v>1204</v>
      </c>
    </row>
    <row r="476" spans="1:9" ht="293.25">
      <c r="A476" s="5">
        <v>43480</v>
      </c>
      <c r="B476" s="6" t="str">
        <f>HYPERLINK("NSf.gov","National Science Foundation")</f>
        <v>National Science Foundation</v>
      </c>
      <c r="C476" s="15" t="s">
        <v>65</v>
      </c>
      <c r="D476" s="8" t="s">
        <v>1205</v>
      </c>
      <c r="E476" s="9" t="s">
        <v>124</v>
      </c>
      <c r="F476" s="22" t="s">
        <v>947</v>
      </c>
      <c r="G476" s="21"/>
      <c r="H476" s="14"/>
      <c r="I476" s="16" t="s">
        <v>1206</v>
      </c>
    </row>
    <row r="477" spans="1:9" ht="195.75">
      <c r="A477" s="5">
        <v>43480</v>
      </c>
      <c r="B477" s="6" t="str">
        <f>HYPERLINK("https://www.aclclassics.org/","American Classical League")</f>
        <v>American Classical League</v>
      </c>
      <c r="C477" s="15" t="s">
        <v>14</v>
      </c>
      <c r="D477" s="6" t="str">
        <f>HYPERLINK("https://www.aclclassics.org/Awards-Scholarships/ACL-Scholarships","American Classical League Scholarships")</f>
        <v>American Classical League Scholarships</v>
      </c>
      <c r="E477" s="9" t="s">
        <v>1291</v>
      </c>
      <c r="F477" s="44"/>
      <c r="G477" s="44"/>
      <c r="H477" s="10" t="s">
        <v>1377</v>
      </c>
      <c r="I477" s="16" t="s">
        <v>1378</v>
      </c>
    </row>
    <row r="478" spans="1:9" ht="102">
      <c r="A478" s="5">
        <v>43481</v>
      </c>
      <c r="B478" s="6" t="str">
        <f>HYPERLINK("https://cmes.fas.harvard.edu/home","Center for Middle Eastern Studies, Harvard University")</f>
        <v>Center for Middle Eastern Studies, Harvard University</v>
      </c>
      <c r="C478" s="15" t="s">
        <v>8</v>
      </c>
      <c r="D478" s="6" t="str">
        <f>HYPERLINK("https://cmes.fas.harvard.edu/vr-program","Visiting Researcher Program")</f>
        <v>Visiting Researcher Program</v>
      </c>
      <c r="E478" s="9" t="s">
        <v>580</v>
      </c>
      <c r="F478" s="44" t="s">
        <v>350</v>
      </c>
      <c r="G478" s="44"/>
      <c r="H478" s="14" t="s">
        <v>574</v>
      </c>
      <c r="I478" s="47" t="s">
        <v>592</v>
      </c>
    </row>
    <row r="479" spans="1:9" ht="89.25">
      <c r="A479" s="5">
        <v>43481</v>
      </c>
      <c r="B479" s="6" t="str">
        <f>HYPERLINK("NSf.gov","National Science Foundation")</f>
        <v>National Science Foundation</v>
      </c>
      <c r="C479" s="7" t="s">
        <v>65</v>
      </c>
      <c r="D479" s="6" t="str">
        <f>HYPERLINK("https://www.nsf.gov/funding/pgm_summ.jsp?pims_id=5321","Cultural Anthropology Scholar Awards")</f>
        <v>Cultural Anthropology Scholar Awards</v>
      </c>
      <c r="E479" s="9" t="s">
        <v>124</v>
      </c>
      <c r="F479" s="9" t="s">
        <v>947</v>
      </c>
      <c r="G479" s="21"/>
      <c r="H479" s="83"/>
      <c r="I479" s="16" t="s">
        <v>1207</v>
      </c>
    </row>
    <row r="480" spans="1:9" ht="89.25">
      <c r="A480" s="5">
        <v>43482</v>
      </c>
      <c r="B480" s="24" t="s">
        <v>555</v>
      </c>
      <c r="C480" s="7" t="s">
        <v>8</v>
      </c>
      <c r="D480" s="6" t="str">
        <f>HYPERLINK("https://hutchinscenter.fas.harvard.edu/w-e-b-du-bois-research-institute","Du Bois Research Institute Fellowship")</f>
        <v>Du Bois Research Institute Fellowship</v>
      </c>
      <c r="E480" s="9" t="s">
        <v>556</v>
      </c>
      <c r="F480" s="44" t="s">
        <v>350</v>
      </c>
      <c r="G480" s="44"/>
      <c r="H480" s="14" t="s">
        <v>557</v>
      </c>
      <c r="I480" s="16" t="s">
        <v>558</v>
      </c>
    </row>
    <row r="481" spans="1:9" ht="140.25">
      <c r="A481" s="5">
        <v>43483</v>
      </c>
      <c r="B481" s="6" t="str">
        <f>HYPERLINK("NSf.gov","National Science Foundation")</f>
        <v>National Science Foundation</v>
      </c>
      <c r="C481" s="15" t="s">
        <v>65</v>
      </c>
      <c r="D481" s="8" t="s">
        <v>1208</v>
      </c>
      <c r="E481" s="9" t="s">
        <v>124</v>
      </c>
      <c r="F481" s="22" t="s">
        <v>947</v>
      </c>
      <c r="G481" s="21"/>
      <c r="H481" s="10"/>
      <c r="I481" s="16" t="s">
        <v>1209</v>
      </c>
    </row>
    <row r="482" spans="1:9" ht="229.5">
      <c r="A482" s="5">
        <v>43483</v>
      </c>
      <c r="B482" s="6" t="str">
        <f>HYPERLINK("NSf.gov","National Science Foundation")</f>
        <v>National Science Foundation</v>
      </c>
      <c r="C482" s="15" t="s">
        <v>65</v>
      </c>
      <c r="D482" s="8" t="s">
        <v>1210</v>
      </c>
      <c r="E482" s="9" t="s">
        <v>124</v>
      </c>
      <c r="F482" s="22" t="s">
        <v>947</v>
      </c>
      <c r="G482" s="21"/>
      <c r="H482" s="10"/>
      <c r="I482" s="16" t="s">
        <v>1211</v>
      </c>
    </row>
    <row r="483" spans="1:9" ht="204">
      <c r="A483" s="5">
        <v>43485</v>
      </c>
      <c r="B483" s="6" t="str">
        <f>HYPERLINK("http://americanvoices.org/","American Voices Abroad")</f>
        <v>American Voices Abroad</v>
      </c>
      <c r="C483" s="15" t="s">
        <v>14</v>
      </c>
      <c r="D483" s="23" t="str">
        <f>HYPERLINK("http://amvoices.org/ama/","American Music Abroad Program")</f>
        <v>American Music Abroad Program</v>
      </c>
      <c r="E483" s="9" t="s">
        <v>830</v>
      </c>
      <c r="F483" s="10" t="s">
        <v>828</v>
      </c>
      <c r="G483" s="14"/>
      <c r="H483" s="10" t="s">
        <v>831</v>
      </c>
      <c r="I483" s="16" t="s">
        <v>832</v>
      </c>
    </row>
    <row r="484" spans="1:9" ht="229.5">
      <c r="A484" s="71">
        <v>43487</v>
      </c>
      <c r="B484" s="6" t="str">
        <f>HYPERLINK("https://www.nsf.gov/","National Science Foundation")</f>
        <v>National Science Foundation</v>
      </c>
      <c r="C484" s="15" t="s">
        <v>65</v>
      </c>
      <c r="D484" s="8" t="s">
        <v>771</v>
      </c>
      <c r="E484" s="9" t="s">
        <v>60</v>
      </c>
      <c r="F484" s="22" t="s">
        <v>772</v>
      </c>
      <c r="G484" s="22"/>
      <c r="H484" s="10"/>
      <c r="I484" s="16" t="s">
        <v>773</v>
      </c>
    </row>
    <row r="485" spans="1:9" ht="191.25">
      <c r="A485" s="71">
        <v>43487</v>
      </c>
      <c r="B485" s="8" t="str">
        <f>HYPERLINK("https://www.nsf.gov/","National Science Foundation")</f>
        <v>National Science Foundation</v>
      </c>
      <c r="C485" s="15" t="s">
        <v>65</v>
      </c>
      <c r="D485" s="8" t="s">
        <v>1107</v>
      </c>
      <c r="E485" s="9" t="s">
        <v>76</v>
      </c>
      <c r="F485" s="10" t="s">
        <v>947</v>
      </c>
      <c r="G485" s="14"/>
      <c r="H485" s="10"/>
      <c r="I485" s="47" t="s">
        <v>1108</v>
      </c>
    </row>
    <row r="486" spans="1:9" ht="102">
      <c r="A486" s="71">
        <v>43488</v>
      </c>
      <c r="B486" s="6" t="str">
        <f>HYPERLINK("https://www.nyfa.org/","New York Foundation for the Arts")</f>
        <v>New York Foundation for the Arts</v>
      </c>
      <c r="C486" s="15" t="s">
        <v>65</v>
      </c>
      <c r="D486" s="8" t="s">
        <v>238</v>
      </c>
      <c r="E486" s="9" t="s">
        <v>49</v>
      </c>
      <c r="F486" s="25" t="s">
        <v>163</v>
      </c>
      <c r="G486" s="25"/>
      <c r="H486" s="19">
        <v>7000</v>
      </c>
      <c r="I486" s="16" t="s">
        <v>239</v>
      </c>
    </row>
    <row r="487" spans="1:9" ht="178.5">
      <c r="A487" s="17">
        <v>43490</v>
      </c>
      <c r="B487" s="6" t="str">
        <f>HYPERLINK("https://www.virginiahistory.org/","Virginia Museum of History and Culture")</f>
        <v>Virginia Museum of History and Culture</v>
      </c>
      <c r="C487" s="15" t="s">
        <v>183</v>
      </c>
      <c r="D487" s="8" t="s">
        <v>464</v>
      </c>
      <c r="E487" s="9" t="s">
        <v>465</v>
      </c>
      <c r="F487" s="10" t="s">
        <v>350</v>
      </c>
      <c r="G487" s="25"/>
      <c r="H487" s="10" t="s">
        <v>370</v>
      </c>
      <c r="I487" s="16" t="s">
        <v>466</v>
      </c>
    </row>
    <row r="488" spans="1:9" ht="102.75">
      <c r="A488" s="21">
        <v>43494</v>
      </c>
      <c r="B488" s="6" t="str">
        <f>HYPERLINK("http://jamesweldonjohnson.emory.edu","James Weldon Johnson Institute for the Study of Race &amp; Difference at Emory University")</f>
        <v>James Weldon Johnson Institute for the Study of Race &amp; Difference at Emory University</v>
      </c>
      <c r="C488" s="61" t="s">
        <v>8</v>
      </c>
      <c r="D488" s="62" t="str">
        <f>HYPERLINK("http://jamesweldonjohnson.emory.edu/home/fellowship/apply.html","Visiting Fellowships for Post-Doctoral and Advanced Scholars")</f>
        <v>Visiting Fellowships for Post-Doctoral and Advanced Scholars</v>
      </c>
      <c r="E488" s="9" t="s">
        <v>542</v>
      </c>
      <c r="F488" s="10" t="s">
        <v>350</v>
      </c>
      <c r="G488" s="12"/>
      <c r="H488" s="10"/>
      <c r="I488" s="63" t="s">
        <v>543</v>
      </c>
    </row>
    <row r="489" spans="1:9" ht="153">
      <c r="A489" s="5">
        <v>43495</v>
      </c>
      <c r="B489" s="6" t="str">
        <f>HYPERLINK("https://camws.org/","Classical Association of the Middle West and South")</f>
        <v>Classical Association of the Middle West and South</v>
      </c>
      <c r="C489" s="15" t="s">
        <v>14</v>
      </c>
      <c r="D489" s="6" t="str">
        <f>HYPERLINK("https://camws.org/awards/excavation.php","Excavation/Field School Award")</f>
        <v>Excavation/Field School Award</v>
      </c>
      <c r="E489" s="9" t="s">
        <v>1291</v>
      </c>
      <c r="F489" s="10"/>
      <c r="G489" s="14"/>
      <c r="H489" s="19">
        <v>2000</v>
      </c>
      <c r="I489" s="16" t="s">
        <v>1379</v>
      </c>
    </row>
    <row r="490" spans="1:9" ht="76.5">
      <c r="A490" s="21">
        <v>43496</v>
      </c>
      <c r="B490" s="32" t="str">
        <f>HYPERLINK("https://www.sas.ac.uk/","Univeristy of London, School of Advanced Study")</f>
        <v>Univeristy of London, School of Advanced Study</v>
      </c>
      <c r="C490" s="59" t="s">
        <v>8</v>
      </c>
      <c r="D490" s="6" t="str">
        <f>HYPERLINK("http://ials.sas.ac.uk/fellowships/institute-advanced-legal-studies-visiting-research-fellowship-programme","Institute of Advanced Legal Studies Visiting Research Fellowship Programme")</f>
        <v>Institute of Advanced Legal Studies Visiting Research Fellowship Programme</v>
      </c>
      <c r="E490" s="34" t="s">
        <v>159</v>
      </c>
      <c r="F490" s="36" t="s">
        <v>157</v>
      </c>
      <c r="G490" s="14"/>
      <c r="H490" s="19" t="s">
        <v>167</v>
      </c>
      <c r="I490" s="40" t="s">
        <v>168</v>
      </c>
    </row>
    <row r="491" spans="1:9" ht="127.5">
      <c r="A491" s="31">
        <v>43496</v>
      </c>
      <c r="B491" s="32" t="str">
        <f>HYPERLINK("https://library.princeton.edu/","Princeton University Library")</f>
        <v>Princeton University Library</v>
      </c>
      <c r="C491" s="59" t="s">
        <v>8</v>
      </c>
      <c r="D491" s="32" t="str">
        <f>HYPERLINK("https://rbsc.princeton.edu/friends-princeton-university-library-research-grants","Library Research Grants")</f>
        <v>Library Research Grants</v>
      </c>
      <c r="E491" s="34" t="s">
        <v>159</v>
      </c>
      <c r="F491" s="36" t="s">
        <v>716</v>
      </c>
      <c r="G491" s="36"/>
      <c r="H491" s="36" t="s">
        <v>718</v>
      </c>
      <c r="I491" s="38" t="s">
        <v>719</v>
      </c>
    </row>
    <row r="492" spans="1:9" ht="76.5">
      <c r="A492" s="71">
        <v>43496</v>
      </c>
      <c r="B492" s="6" t="str">
        <f>HYPERLINK("https://demingfund.org/","Barbara Deming Memorial Fund")</f>
        <v>Barbara Deming Memorial Fund</v>
      </c>
      <c r="C492" s="7" t="s">
        <v>14</v>
      </c>
      <c r="D492" s="8" t="s">
        <v>916</v>
      </c>
      <c r="E492" s="9" t="s">
        <v>49</v>
      </c>
      <c r="F492" s="44" t="s">
        <v>917</v>
      </c>
      <c r="G492" s="44"/>
      <c r="H492" s="14" t="s">
        <v>918</v>
      </c>
      <c r="I492" s="16" t="s">
        <v>919</v>
      </c>
    </row>
    <row r="493" spans="1:9" ht="153">
      <c r="A493" s="5">
        <v>43496</v>
      </c>
      <c r="B493" s="6" t="str">
        <f>HYPERLINK("https://www.icahdq.org/","International Communication Association")</f>
        <v>International Communication Association</v>
      </c>
      <c r="C493" s="7" t="s">
        <v>14</v>
      </c>
      <c r="D493" s="23" t="str">
        <f>HYPERLINK("https://www.icahdq.org/page/Awards","James W. Carey Urban Communication Grant")</f>
        <v>James W. Carey Urban Communication Grant</v>
      </c>
      <c r="E493" s="22" t="s">
        <v>10</v>
      </c>
      <c r="F493" s="10" t="s">
        <v>947</v>
      </c>
      <c r="G493" s="12"/>
      <c r="H493" s="14" t="s">
        <v>134</v>
      </c>
      <c r="I493" s="16" t="s">
        <v>1002</v>
      </c>
    </row>
    <row r="494" spans="1:9" ht="153">
      <c r="A494" s="5">
        <v>43496</v>
      </c>
      <c r="B494" s="6" t="str">
        <f>HYPERLINK("https://www.simonsfoundation.org/","Simons Foundation")</f>
        <v>Simons Foundation</v>
      </c>
      <c r="C494" s="24" t="s">
        <v>14</v>
      </c>
      <c r="D494" s="6" t="str">
        <f>HYPERLINK("https://www.simonsfoundation.org/grant/collaboration-grants-for-mathematicians/","Collaboration Grants for Mathematicians")</f>
        <v>Collaboration Grants for Mathematicians</v>
      </c>
      <c r="E494" s="9" t="s">
        <v>101</v>
      </c>
      <c r="F494" s="25" t="s">
        <v>1266</v>
      </c>
      <c r="G494" s="25"/>
      <c r="H494" s="19">
        <v>8400</v>
      </c>
      <c r="I494" s="16" t="s">
        <v>1267</v>
      </c>
    </row>
    <row r="495" spans="1:9" ht="178.5">
      <c r="A495" s="21">
        <v>43497</v>
      </c>
      <c r="B495" s="32" t="str">
        <f>HYPERLINK("https://www.sas.ac.uk/","Univeristy of London, School of Advanced Study")</f>
        <v>Univeristy of London, School of Advanced Study</v>
      </c>
      <c r="C495" s="59" t="s">
        <v>8</v>
      </c>
      <c r="D495" s="24" t="s">
        <v>185</v>
      </c>
      <c r="E495" s="34" t="s">
        <v>186</v>
      </c>
      <c r="F495" s="36" t="s">
        <v>157</v>
      </c>
      <c r="G495" s="14"/>
      <c r="H495" s="19" t="s">
        <v>167</v>
      </c>
      <c r="I495" s="40" t="s">
        <v>187</v>
      </c>
    </row>
    <row r="496" spans="1:9" ht="140.25">
      <c r="A496" s="102">
        <v>43497</v>
      </c>
      <c r="B496" s="6" t="str">
        <f>HYPERLINK("https://www.acorjordan.org/","American Center of Oriental Research")</f>
        <v>American Center of Oriental Research</v>
      </c>
      <c r="C496" s="7" t="s">
        <v>65</v>
      </c>
      <c r="D496" s="23" t="str">
        <f>HYPERLINK("https://www.acorjordan.org/neh-fellowship/","Research Fellowships")</f>
        <v>Research Fellowships</v>
      </c>
      <c r="E496" s="9" t="s">
        <v>10</v>
      </c>
      <c r="F496" s="10" t="s">
        <v>163</v>
      </c>
      <c r="G496" s="25"/>
      <c r="H496" s="19">
        <v>25200</v>
      </c>
      <c r="I496" s="16" t="s">
        <v>328</v>
      </c>
    </row>
    <row r="497" spans="1:9" ht="102">
      <c r="A497" s="5">
        <v>43497</v>
      </c>
      <c r="B497" s="6" t="str">
        <f>HYPERLINK("https://humanities.uconn.edu/","Humanities Institute University of Connecticut")</f>
        <v>Humanities Institute University of Connecticut</v>
      </c>
      <c r="C497" s="7" t="s">
        <v>8</v>
      </c>
      <c r="D497" s="23" t="str">
        <f>HYPERLINK("https://humanities.uconn.edu/applications/","Residential Fellowships")</f>
        <v>Residential Fellowships</v>
      </c>
      <c r="E497" s="9" t="s">
        <v>159</v>
      </c>
      <c r="F497" s="10" t="s">
        <v>350</v>
      </c>
      <c r="G497" s="22" t="s">
        <v>408</v>
      </c>
      <c r="H497" s="19">
        <v>45000</v>
      </c>
      <c r="I497" s="16" t="s">
        <v>409</v>
      </c>
    </row>
    <row r="498" spans="1:9" ht="89.25">
      <c r="A498" s="5">
        <v>43497</v>
      </c>
      <c r="B498" s="6" t="str">
        <f>HYPERLINK("http://www.artsci.uc.edu/","University of Cincinnati College of Arts and Sciences")</f>
        <v>University of Cincinnati College of Arts and Sciences</v>
      </c>
      <c r="C498" s="7" t="s">
        <v>8</v>
      </c>
      <c r="D498" s="8" t="s">
        <v>410</v>
      </c>
      <c r="E498" s="9" t="s">
        <v>159</v>
      </c>
      <c r="F498" s="10" t="s">
        <v>350</v>
      </c>
      <c r="G498" s="22"/>
      <c r="H498" s="14" t="s">
        <v>411</v>
      </c>
      <c r="I498" s="16" t="s">
        <v>412</v>
      </c>
    </row>
    <row r="499" spans="1:9" ht="127.5">
      <c r="A499" s="17">
        <v>43497</v>
      </c>
      <c r="B499" s="6" t="str">
        <f>HYPERLINK("http://web.fawc.org/","Fine Arts Work Center")</f>
        <v>Fine Arts Work Center</v>
      </c>
      <c r="C499" s="7" t="s">
        <v>14</v>
      </c>
      <c r="D499" s="6" t="str">
        <f>HYPERLINK("http://web.fawc.org/program","Fellowships")</f>
        <v>Fellowships</v>
      </c>
      <c r="E499" s="9" t="s">
        <v>366</v>
      </c>
      <c r="F499" s="10" t="s">
        <v>350</v>
      </c>
      <c r="G499" s="14"/>
      <c r="H499" s="14" t="s">
        <v>471</v>
      </c>
      <c r="I499" s="16" t="s">
        <v>472</v>
      </c>
    </row>
    <row r="500" spans="1:9" ht="102">
      <c r="A500" s="5">
        <v>43497</v>
      </c>
      <c r="B500" s="23" t="str">
        <f>HYPERLINK("https://drclas.harvard.edu/","David Rockefeller Center  for Latin American Studies Harvard University")</f>
        <v>David Rockefeller Center  for Latin American Studies Harvard University</v>
      </c>
      <c r="C500" s="15" t="s">
        <v>8</v>
      </c>
      <c r="D500" s="6" t="str">
        <f>HYPERLINK("https://drclas.harvard.edu/pages/visiting-scholars","Visiting Scholar")</f>
        <v>Visiting Scholar</v>
      </c>
      <c r="E500" s="9" t="s">
        <v>56</v>
      </c>
      <c r="F500" s="10" t="s">
        <v>350</v>
      </c>
      <c r="G500" s="14"/>
      <c r="H500" s="14" t="s">
        <v>577</v>
      </c>
      <c r="I500" s="16" t="s">
        <v>578</v>
      </c>
    </row>
    <row r="501" spans="1:9" ht="127.5">
      <c r="A501" s="5">
        <v>43497</v>
      </c>
      <c r="B501" s="6" t="str">
        <f>HYPERLINK("https://www.jusfc.gov/","Japan-U.S. Friendship Commission")</f>
        <v>Japan-U.S. Friendship Commission</v>
      </c>
      <c r="C501" s="7" t="s">
        <v>14</v>
      </c>
      <c r="D501" s="6" t="str">
        <f>HYPERLINK("http://www.jusfc.gov/creative-artists-programs/","US-Japan Creative Artists Fellowships")</f>
        <v>US-Japan Creative Artists Fellowships</v>
      </c>
      <c r="E501" s="9" t="s">
        <v>366</v>
      </c>
      <c r="F501" s="44" t="s">
        <v>714</v>
      </c>
      <c r="G501" s="22"/>
      <c r="H501" s="10"/>
      <c r="I501" s="16" t="s">
        <v>715</v>
      </c>
    </row>
    <row r="502" spans="1:9" ht="127.5">
      <c r="A502" s="5">
        <v>43497</v>
      </c>
      <c r="B502" s="6" t="str">
        <f>HYPERLINK("https://www.spencer.org/","Spencer Foundation")</f>
        <v>Spencer Foundation</v>
      </c>
      <c r="C502" s="7" t="s">
        <v>14</v>
      </c>
      <c r="D502" s="8" t="s">
        <v>745</v>
      </c>
      <c r="E502" s="9" t="s">
        <v>746</v>
      </c>
      <c r="F502" s="22" t="s">
        <v>716</v>
      </c>
      <c r="G502" s="22"/>
      <c r="H502" s="10"/>
      <c r="I502" s="16" t="s">
        <v>747</v>
      </c>
    </row>
    <row r="503" spans="1:9" ht="204">
      <c r="A503" s="88">
        <v>43497</v>
      </c>
      <c r="B503" s="6" t="str">
        <f>HYPERLINK("http://www.acha.org/","American College Health Association")</f>
        <v>American College Health Association</v>
      </c>
      <c r="C503" s="15" t="s">
        <v>14</v>
      </c>
      <c r="D503" s="8" t="s">
        <v>1139</v>
      </c>
      <c r="E503" s="9" t="s">
        <v>1140</v>
      </c>
      <c r="F503" s="10" t="s">
        <v>947</v>
      </c>
      <c r="G503" s="12"/>
      <c r="H503" s="19">
        <v>3500</v>
      </c>
      <c r="I503" s="16" t="s">
        <v>1141</v>
      </c>
    </row>
    <row r="504" spans="1:9" ht="89.25">
      <c r="A504" s="71">
        <v>43497</v>
      </c>
      <c r="B504" s="6" t="str">
        <f>HYPERLINK("http://teachpsych.org/","Society for the Teaching of Psychology")</f>
        <v>Society for the Teaching of Psychology</v>
      </c>
      <c r="C504" s="15" t="s">
        <v>14</v>
      </c>
      <c r="D504" s="6" t="str">
        <f>HYPERLINK("http://teachpsych.org/page-1610198","Instructional Resource Awards")</f>
        <v>Instructional Resource Awards</v>
      </c>
      <c r="E504" s="9" t="s">
        <v>132</v>
      </c>
      <c r="F504" s="22" t="s">
        <v>947</v>
      </c>
      <c r="G504" s="14"/>
      <c r="H504" s="19" t="s">
        <v>866</v>
      </c>
      <c r="I504" s="47" t="s">
        <v>1174</v>
      </c>
    </row>
    <row r="505" spans="1:9" ht="114.75">
      <c r="A505" s="5">
        <v>43498</v>
      </c>
      <c r="B505" s="6" t="str">
        <f>HYPERLINK("NSf.gov","National Science Foundation")</f>
        <v>National Science Foundation</v>
      </c>
      <c r="C505" s="7" t="s">
        <v>65</v>
      </c>
      <c r="D505" s="8" t="s">
        <v>1212</v>
      </c>
      <c r="E505" s="9" t="s">
        <v>124</v>
      </c>
      <c r="F505" s="10" t="s">
        <v>947</v>
      </c>
      <c r="G505" s="14"/>
      <c r="H505" s="14"/>
      <c r="I505" s="16" t="s">
        <v>1213</v>
      </c>
    </row>
    <row r="506" spans="1:9" ht="140.25">
      <c r="A506" s="5">
        <v>43500</v>
      </c>
      <c r="B506" s="6" t="str">
        <f>HYPERLINK("https://www.marybakereddylibrary.org/","Mary Baker Eddy Library")</f>
        <v>Mary Baker Eddy Library</v>
      </c>
      <c r="C506" s="7" t="s">
        <v>183</v>
      </c>
      <c r="D506" s="6" t="str">
        <f>HYPERLINK("https://www.marybakereddylibrary.org/research/fellows/","Fellowship Program ")</f>
        <v xml:space="preserve">Fellowship Program </v>
      </c>
      <c r="E506" s="9" t="s">
        <v>394</v>
      </c>
      <c r="F506" s="25" t="s">
        <v>350</v>
      </c>
      <c r="G506" s="25"/>
      <c r="H506" s="14"/>
      <c r="I506" s="16" t="s">
        <v>395</v>
      </c>
    </row>
    <row r="507" spans="1:9" ht="127.5">
      <c r="A507" s="5">
        <v>43500</v>
      </c>
      <c r="B507" s="6" t="str">
        <f>HYPERLINK("https://www.radcliffe.harvard.edu/","Radcliffe Institute for Advanced Study Harvard University")</f>
        <v>Radcliffe Institute for Advanced Study Harvard University</v>
      </c>
      <c r="C507" s="15" t="s">
        <v>8</v>
      </c>
      <c r="D507" s="6" t="str">
        <f>HYPERLINK("https://www.radcliffe.harvard.edu/schlesinger-library/grants","Schlesinger Oral History Grants")</f>
        <v>Schlesinger Oral History Grants</v>
      </c>
      <c r="E507" s="9" t="s">
        <v>873</v>
      </c>
      <c r="F507" s="10" t="s">
        <v>833</v>
      </c>
      <c r="G507" s="14"/>
      <c r="H507" s="19">
        <v>3000</v>
      </c>
      <c r="I507" s="16" t="s">
        <v>874</v>
      </c>
    </row>
    <row r="508" spans="1:9" ht="153">
      <c r="A508" s="5">
        <v>43500</v>
      </c>
      <c r="B508" s="6" t="str">
        <f>HYPERLINK("https://www.radcliffe.harvard.edu/","Radcliffe Institute for Advanced Study Harvard University")</f>
        <v>Radcliffe Institute for Advanced Study Harvard University</v>
      </c>
      <c r="C508" s="7" t="s">
        <v>8</v>
      </c>
      <c r="D508" s="6" t="str">
        <f>HYPERLINK("https://www.radcliffe.harvard.edu/schlesinger-library/grants","Schlesinger Research Grant")</f>
        <v>Schlesinger Research Grant</v>
      </c>
      <c r="E508" s="9" t="s">
        <v>873</v>
      </c>
      <c r="F508" s="10" t="s">
        <v>947</v>
      </c>
      <c r="G508" s="10"/>
      <c r="H508" s="19">
        <v>3000</v>
      </c>
      <c r="I508" s="16" t="s">
        <v>992</v>
      </c>
    </row>
    <row r="509" spans="1:9" ht="140.25">
      <c r="A509" s="21">
        <v>43500</v>
      </c>
      <c r="B509" s="6" t="str">
        <f>HYPERLINK("https://www.nsf.gov/","National Science Foundation")</f>
        <v>National Science Foundation</v>
      </c>
      <c r="C509" s="15" t="s">
        <v>65</v>
      </c>
      <c r="D509" s="8" t="s">
        <v>1214</v>
      </c>
      <c r="E509" s="9" t="s">
        <v>124</v>
      </c>
      <c r="F509" s="22" t="s">
        <v>947</v>
      </c>
      <c r="G509" s="22"/>
      <c r="H509" s="44"/>
      <c r="I509" s="16" t="s">
        <v>1215</v>
      </c>
    </row>
    <row r="510" spans="1:9" ht="102">
      <c r="A510" s="17">
        <v>43501</v>
      </c>
      <c r="B510" s="6" t="str">
        <f>HYPERLINK("https://www.nih.gov/","National Institutes of Health")</f>
        <v>National Institutes of Health</v>
      </c>
      <c r="C510" s="7" t="s">
        <v>65</v>
      </c>
      <c r="D510" s="8" t="s">
        <v>1036</v>
      </c>
      <c r="E510" s="9" t="s">
        <v>60</v>
      </c>
      <c r="F510" s="10" t="s">
        <v>947</v>
      </c>
      <c r="G510" s="14"/>
      <c r="H510" s="14"/>
      <c r="I510" s="16" t="s">
        <v>1037</v>
      </c>
    </row>
    <row r="511" spans="1:9" ht="25.5">
      <c r="A511" s="17">
        <v>43502</v>
      </c>
      <c r="B511" s="6" t="str">
        <f>HYPERLINK("https://www.neh.gov/","National Endowment for the Humanities")</f>
        <v>National Endowment for the Humanities</v>
      </c>
      <c r="C511" s="7" t="s">
        <v>65</v>
      </c>
      <c r="D511" s="8" t="s">
        <v>958</v>
      </c>
      <c r="E511" s="9" t="s">
        <v>40</v>
      </c>
      <c r="F511" s="22" t="s">
        <v>947</v>
      </c>
      <c r="G511" s="22"/>
      <c r="H511" s="14"/>
      <c r="I511" s="16" t="s">
        <v>63</v>
      </c>
    </row>
    <row r="512" spans="1:9" ht="63.75">
      <c r="A512" s="5">
        <v>43502</v>
      </c>
      <c r="B512" s="6" t="str">
        <f>HYPERLINK("https://www.bwfund.org","Burroughs Wellcome Fund")</f>
        <v>Burroughs Wellcome Fund</v>
      </c>
      <c r="C512" s="7" t="s">
        <v>14</v>
      </c>
      <c r="D512" s="8" t="s">
        <v>1074</v>
      </c>
      <c r="E512" s="9" t="s">
        <v>60</v>
      </c>
      <c r="F512" s="22" t="s">
        <v>947</v>
      </c>
      <c r="G512" s="22"/>
      <c r="H512" s="14" t="s">
        <v>1075</v>
      </c>
      <c r="I512" s="16" t="s">
        <v>1076</v>
      </c>
    </row>
    <row r="513" spans="1:9" ht="114.75">
      <c r="A513" s="5">
        <v>43503</v>
      </c>
      <c r="B513" s="6" t="str">
        <f>HYPERLINK("http://www.dreyfus.org/","Dreyfus Foundation")</f>
        <v>Dreyfus Foundation</v>
      </c>
      <c r="C513" s="24" t="s">
        <v>14</v>
      </c>
      <c r="D513" s="6" t="str">
        <f>HYPERLINK("http://www.dreyfus.org/awards/camille_dreyfus_teacher_award.shtml","Camille Dreyfus Teacher-Scholar Awards")</f>
        <v>Camille Dreyfus Teacher-Scholar Awards</v>
      </c>
      <c r="E513" s="9" t="s">
        <v>60</v>
      </c>
      <c r="F513" s="9" t="s">
        <v>19</v>
      </c>
      <c r="G513" s="22" t="s">
        <v>67</v>
      </c>
      <c r="H513" s="19">
        <v>75000</v>
      </c>
      <c r="I513" s="16" t="s">
        <v>72</v>
      </c>
    </row>
    <row r="514" spans="1:9" ht="165.75">
      <c r="A514" s="71">
        <v>43507</v>
      </c>
      <c r="B514" s="6" t="str">
        <f>HYPERLINK("http://cals.la.psu.edu/","Center for American Literary Studies Penn State")</f>
        <v>Center for American Literary Studies Penn State</v>
      </c>
      <c r="C514" s="7" t="s">
        <v>8</v>
      </c>
      <c r="D514" s="6" t="str">
        <f>HYPERLINK("http://cals.la.psu.edu/programs-series/first-book-institute","First Book Institute")</f>
        <v>First Book Institute</v>
      </c>
      <c r="E514" s="9" t="s">
        <v>656</v>
      </c>
      <c r="F514" s="10" t="s">
        <v>835</v>
      </c>
      <c r="G514" s="44"/>
      <c r="H514" s="19">
        <v>1500</v>
      </c>
      <c r="I514" s="16" t="s">
        <v>836</v>
      </c>
    </row>
    <row r="515" spans="1:9" ht="229.5">
      <c r="A515" s="5">
        <v>43507</v>
      </c>
      <c r="B515" s="6" t="str">
        <f>HYPERLINK("https://www.nsf.gov/","National Science Foundation")</f>
        <v>National Science Foundation</v>
      </c>
      <c r="C515" s="24" t="s">
        <v>65</v>
      </c>
      <c r="D515" s="8" t="s">
        <v>1216</v>
      </c>
      <c r="E515" s="9" t="s">
        <v>124</v>
      </c>
      <c r="F515" s="9" t="s">
        <v>947</v>
      </c>
      <c r="G515" s="22"/>
      <c r="H515" s="44"/>
      <c r="I515" s="16" t="s">
        <v>1217</v>
      </c>
    </row>
    <row r="516" spans="1:9" ht="114.75">
      <c r="A516" s="5">
        <v>43508</v>
      </c>
      <c r="B516" s="6" t="str">
        <f>HYPERLINK("https://www.maa.org/","Mathematical Association of America")</f>
        <v>Mathematical Association of America</v>
      </c>
      <c r="C516" s="15" t="s">
        <v>14</v>
      </c>
      <c r="D516" s="6" t="str">
        <f>HYPERLINK("https://www.maa.org/programs/maa-grants/women-and-mathematics-grants","Tensor Women and Mathematics Grants")</f>
        <v>Tensor Women and Mathematics Grants</v>
      </c>
      <c r="E516" s="9" t="s">
        <v>101</v>
      </c>
      <c r="F516" s="10" t="s">
        <v>788</v>
      </c>
      <c r="G516" s="14"/>
      <c r="H516" s="44" t="s">
        <v>807</v>
      </c>
      <c r="I516" s="16" t="s">
        <v>808</v>
      </c>
    </row>
    <row r="517" spans="1:9" ht="267.75">
      <c r="A517" s="5">
        <v>43510</v>
      </c>
      <c r="B517" s="6" t="str">
        <f>HYPERLINK("https://www.neh.gov/","National Endowment for the Humanitites")</f>
        <v>National Endowment for the Humanitites</v>
      </c>
      <c r="C517" s="7" t="s">
        <v>65</v>
      </c>
      <c r="D517" s="8" t="s">
        <v>818</v>
      </c>
      <c r="E517" s="9" t="s">
        <v>40</v>
      </c>
      <c r="F517" s="10" t="s">
        <v>819</v>
      </c>
      <c r="G517" s="21"/>
      <c r="H517" s="10"/>
      <c r="I517" s="47" t="s">
        <v>820</v>
      </c>
    </row>
    <row r="518" spans="1:9" ht="63.75">
      <c r="A518" s="5">
        <v>43511</v>
      </c>
      <c r="B518" s="6" t="str">
        <f>HYPERLINK("http://www.klingfund.org/index.php","Esther A. &amp; Joseph Klingenstein Fund")</f>
        <v>Esther A. &amp; Joseph Klingenstein Fund</v>
      </c>
      <c r="C518" s="15" t="s">
        <v>8</v>
      </c>
      <c r="D518" s="8" t="s">
        <v>665</v>
      </c>
      <c r="E518" s="9" t="s">
        <v>60</v>
      </c>
      <c r="F518" s="22" t="s">
        <v>666</v>
      </c>
      <c r="G518" s="22" t="s">
        <v>50</v>
      </c>
      <c r="H518" s="10" t="s">
        <v>667</v>
      </c>
      <c r="I518" s="16" t="s">
        <v>668</v>
      </c>
    </row>
    <row r="519" spans="1:9" ht="76.5">
      <c r="A519" s="5">
        <v>43511</v>
      </c>
      <c r="B519" s="6" t="str">
        <f>HYPERLINK("https://www.societyforfrenchhistoricalstudies.net/","Society for French Historical Studies")</f>
        <v>Society for French Historical Studies</v>
      </c>
      <c r="C519" s="15" t="s">
        <v>14</v>
      </c>
      <c r="D519" s="23" t="str">
        <f>HYPERLINK("https://www.societyforfrenchhistoricalstudies.net/institut-fund","Research Fellowship")</f>
        <v>Research Fellowship</v>
      </c>
      <c r="E519" s="9" t="s">
        <v>569</v>
      </c>
      <c r="F519" s="22" t="s">
        <v>687</v>
      </c>
      <c r="G519" s="22" t="s">
        <v>697</v>
      </c>
      <c r="H519" s="10" t="s">
        <v>698</v>
      </c>
      <c r="I519" s="16" t="s">
        <v>699</v>
      </c>
    </row>
    <row r="520" spans="1:9" ht="165.75">
      <c r="A520" s="5">
        <v>43511</v>
      </c>
      <c r="B520" s="6" t="str">
        <f>HYPERLINK("https://www.wabashcenter.wabash.edu","Wabash Center")</f>
        <v>Wabash Center</v>
      </c>
      <c r="C520" s="15" t="s">
        <v>841</v>
      </c>
      <c r="D520" s="20" t="s">
        <v>842</v>
      </c>
      <c r="E520" s="9" t="s">
        <v>202</v>
      </c>
      <c r="F520" s="22" t="s">
        <v>833</v>
      </c>
      <c r="G520" s="21"/>
      <c r="H520" s="10"/>
      <c r="I520" s="16" t="s">
        <v>843</v>
      </c>
    </row>
    <row r="521" spans="1:9" ht="127.5">
      <c r="A521" s="5">
        <v>43511</v>
      </c>
      <c r="B521" s="6" t="str">
        <f>HYPERLINK("nsf.gov","National Science Foundation")</f>
        <v>National Science Foundation</v>
      </c>
      <c r="C521" s="15" t="s">
        <v>65</v>
      </c>
      <c r="D521" s="8" t="s">
        <v>1015</v>
      </c>
      <c r="E521" s="9" t="s">
        <v>1016</v>
      </c>
      <c r="F521" s="10" t="s">
        <v>947</v>
      </c>
      <c r="G521" s="14"/>
      <c r="H521" s="10" t="s">
        <v>1017</v>
      </c>
      <c r="I521" s="16" t="s">
        <v>1018</v>
      </c>
    </row>
    <row r="522" spans="1:9" ht="90">
      <c r="A522" s="5">
        <v>43511</v>
      </c>
      <c r="B522" s="6" t="str">
        <f>HYPERLINK("nsf.gov","National Science Foundation")</f>
        <v>National Science Foundation</v>
      </c>
      <c r="C522" s="15" t="s">
        <v>65</v>
      </c>
      <c r="D522" s="8" t="s">
        <v>1077</v>
      </c>
      <c r="E522" s="9" t="s">
        <v>60</v>
      </c>
      <c r="F522" s="22" t="s">
        <v>947</v>
      </c>
      <c r="G522" s="22"/>
      <c r="H522" s="10"/>
      <c r="I522" s="46" t="s">
        <v>1078</v>
      </c>
    </row>
    <row r="523" spans="1:9" ht="89.25">
      <c r="A523" s="5">
        <v>43511</v>
      </c>
      <c r="B523" s="6" t="str">
        <f>HYPERLINK("https://www.societyforfrenchhistoricalstudies.net/","Society for French Hitorical Studies")</f>
        <v>Society for French Hitorical Studies</v>
      </c>
      <c r="C523" s="15" t="s">
        <v>69</v>
      </c>
      <c r="D523" s="8" t="s">
        <v>1304</v>
      </c>
      <c r="E523" s="9" t="s">
        <v>569</v>
      </c>
      <c r="F523" s="10" t="s">
        <v>1299</v>
      </c>
      <c r="G523" s="14" t="s">
        <v>518</v>
      </c>
      <c r="H523" s="10"/>
      <c r="I523" s="16" t="s">
        <v>1305</v>
      </c>
    </row>
    <row r="524" spans="1:9" ht="25.5">
      <c r="A524" s="71">
        <v>43512</v>
      </c>
      <c r="B524" s="8" t="str">
        <f>HYPERLINK("https://www.nih.gov/","National Institutes of Health ")</f>
        <v xml:space="preserve">National Institutes of Health </v>
      </c>
      <c r="C524" s="15" t="s">
        <v>65</v>
      </c>
      <c r="D524" s="8" t="s">
        <v>1038</v>
      </c>
      <c r="E524" s="9" t="s">
        <v>60</v>
      </c>
      <c r="F524" s="22" t="s">
        <v>947</v>
      </c>
      <c r="G524" s="22"/>
      <c r="H524" s="14"/>
      <c r="I524" s="16" t="s">
        <v>1039</v>
      </c>
    </row>
    <row r="525" spans="1:9" ht="294">
      <c r="A525" s="5">
        <v>43513</v>
      </c>
      <c r="B525" s="6" t="str">
        <f>HYPERLINK("https://www.ias.edu/","Institutes for Advanced Study")</f>
        <v>Institutes for Advanced Study</v>
      </c>
      <c r="C525" s="15" t="s">
        <v>8</v>
      </c>
      <c r="D525" s="6" t="str">
        <f>HYPERLINK("https://www.math.ias.edu/wam","Women and Mathematics")</f>
        <v>Women and Mathematics</v>
      </c>
      <c r="E525" s="9" t="s">
        <v>1144</v>
      </c>
      <c r="F525" s="10" t="s">
        <v>947</v>
      </c>
      <c r="G525" s="22"/>
      <c r="H525" s="10"/>
      <c r="I525" s="65" t="s">
        <v>1146</v>
      </c>
    </row>
    <row r="526" spans="1:9" ht="267.75">
      <c r="A526" s="17">
        <v>43518</v>
      </c>
      <c r="B526" s="6" t="str">
        <f>HYPERLINK("https://www.nsf.gov/","National Science Foundation")</f>
        <v>National Science Foundation</v>
      </c>
      <c r="C526" s="7" t="s">
        <v>65</v>
      </c>
      <c r="D526" s="23" t="str">
        <f>HYPERLINK("https://www.nsf.gov/funding/pgm_summ.jsp?pims_id=505027","Cultivating Cultures for Ethical STEM")</f>
        <v>Cultivating Cultures for Ethical STEM</v>
      </c>
      <c r="E526" s="9" t="s">
        <v>60</v>
      </c>
      <c r="F526" s="22" t="s">
        <v>947</v>
      </c>
      <c r="G526" s="22"/>
      <c r="H526" s="14"/>
      <c r="I526" s="16" t="s">
        <v>1079</v>
      </c>
    </row>
    <row r="527" spans="1:9" ht="38.25">
      <c r="A527" s="17">
        <v>43524</v>
      </c>
      <c r="B527" s="23" t="str">
        <f>HYPERLINK("https://www2.archivists.org","Society of American Archivists")</f>
        <v>Society of American Archivists</v>
      </c>
      <c r="C527" s="7" t="s">
        <v>14</v>
      </c>
      <c r="D527" s="6" t="str">
        <f>HYPERLINK("https://www2.archivists.org/governance/handbook/section12-fellows","Fellows")</f>
        <v>Fellows</v>
      </c>
      <c r="E527" s="9" t="s">
        <v>58</v>
      </c>
      <c r="F527" s="10" t="s">
        <v>157</v>
      </c>
      <c r="G527" s="14"/>
      <c r="H527" s="14"/>
      <c r="I527" s="16" t="s">
        <v>291</v>
      </c>
    </row>
    <row r="528" spans="1:9" ht="76.5">
      <c r="A528" s="17">
        <v>43525</v>
      </c>
      <c r="B528" s="6" t="str">
        <f>HYPERLINK("http://www.ucrossfoundation.org","UCross Foundation")</f>
        <v>UCross Foundation</v>
      </c>
      <c r="C528" s="7" t="s">
        <v>14</v>
      </c>
      <c r="D528" s="8" t="s">
        <v>365</v>
      </c>
      <c r="E528" s="9" t="s">
        <v>366</v>
      </c>
      <c r="F528" s="10" t="s">
        <v>367</v>
      </c>
      <c r="G528" s="14"/>
      <c r="H528" s="10"/>
      <c r="I528" s="16" t="s">
        <v>368</v>
      </c>
    </row>
    <row r="529" spans="1:9" ht="102">
      <c r="A529" s="17">
        <v>43525</v>
      </c>
      <c r="B529" s="6" t="str">
        <f>HYPERLINK("https://www.amphilsoc.org/","American Philosophical Society")</f>
        <v>American Philosophical Society</v>
      </c>
      <c r="C529" s="7" t="s">
        <v>14</v>
      </c>
      <c r="D529" s="6" t="str">
        <f>HYPERLINK("https://www.amphilsoc.org/grants/library-short-term-resident-research-fellowships","Library Short Term Resident Research Fellowships")</f>
        <v>Library Short Term Resident Research Fellowships</v>
      </c>
      <c r="E529" s="9" t="s">
        <v>159</v>
      </c>
      <c r="F529" s="10" t="s">
        <v>350</v>
      </c>
      <c r="G529" s="14"/>
      <c r="H529" s="19">
        <v>3000</v>
      </c>
      <c r="I529" s="16" t="s">
        <v>405</v>
      </c>
    </row>
    <row r="530" spans="1:9" ht="90">
      <c r="A530" s="5">
        <v>43532</v>
      </c>
      <c r="B530" s="6" t="str">
        <f>HYPERLINK("https://www.baylor.edu/","Baylor University Library")</f>
        <v>Baylor University Library</v>
      </c>
      <c r="C530" s="15" t="s">
        <v>8</v>
      </c>
      <c r="D530" s="8" t="s">
        <v>549</v>
      </c>
      <c r="E530" s="9" t="s">
        <v>284</v>
      </c>
      <c r="F530" s="10" t="s">
        <v>367</v>
      </c>
      <c r="G530" s="22"/>
      <c r="H530" s="10" t="s">
        <v>550</v>
      </c>
      <c r="I530" s="65" t="s">
        <v>551</v>
      </c>
    </row>
    <row r="531" spans="1:9" ht="127.5">
      <c r="A531" s="31">
        <v>43554</v>
      </c>
      <c r="B531" s="32" t="str">
        <f>HYPERLINK("https://sydney.edu.au/","University of Sydney")</f>
        <v>University of Sydney</v>
      </c>
      <c r="C531" s="59" t="s">
        <v>8</v>
      </c>
      <c r="D531" s="32" t="str">
        <f>HYPERLINK("https://sydney.edu.au/arts/our-research/research-areas/literature-art-and-media.html","Visiting Research Fellowship Scheme")</f>
        <v>Visiting Research Fellowship Scheme</v>
      </c>
      <c r="E531" s="34" t="s">
        <v>159</v>
      </c>
      <c r="F531" s="36" t="s">
        <v>157</v>
      </c>
      <c r="G531" s="36"/>
      <c r="H531" s="37"/>
      <c r="I531" s="38" t="s">
        <v>161</v>
      </c>
    </row>
    <row r="532" spans="1:9" ht="127.5">
      <c r="A532" s="71">
        <v>43555</v>
      </c>
      <c r="B532" s="6" t="str">
        <f>HYPERLINK("http://www.hfsp.org/","Human Frontier Science Program")</f>
        <v>Human Frontier Science Program</v>
      </c>
      <c r="C532" s="15" t="s">
        <v>14</v>
      </c>
      <c r="D532" s="8" t="s">
        <v>1080</v>
      </c>
      <c r="E532" s="9" t="s">
        <v>60</v>
      </c>
      <c r="F532" s="22" t="s">
        <v>947</v>
      </c>
      <c r="G532" s="22"/>
      <c r="H532" s="10"/>
      <c r="I532" s="47" t="s">
        <v>1081</v>
      </c>
    </row>
    <row r="533" spans="1:9" ht="102">
      <c r="A533" s="31">
        <v>43556</v>
      </c>
      <c r="B533" s="32" t="str">
        <f>HYPERLINK("https://dff.dk/en","Independent Research Fund Denmark")</f>
        <v>Independent Research Fund Denmark</v>
      </c>
      <c r="C533" s="59" t="s">
        <v>14</v>
      </c>
      <c r="D533" s="32" t="str">
        <f>HYPERLINK("https://dff.dk/en/application","Sapere Aude Starting Grant")</f>
        <v>Sapere Aude Starting Grant</v>
      </c>
      <c r="E533" s="34" t="s">
        <v>10</v>
      </c>
      <c r="F533" s="36" t="s">
        <v>720</v>
      </c>
      <c r="G533" s="36" t="s">
        <v>341</v>
      </c>
      <c r="H533" s="37"/>
      <c r="I533" s="38" t="s">
        <v>736</v>
      </c>
    </row>
    <row r="534" spans="1:9" ht="76.5">
      <c r="A534" s="5">
        <v>43570</v>
      </c>
      <c r="B534" s="6" t="str">
        <f>HYPERLINK("https://www.apsanet.org/","American Political Science Association")</f>
        <v>American Political Science Association</v>
      </c>
      <c r="C534" s="7" t="s">
        <v>14</v>
      </c>
      <c r="D534" s="8" t="s">
        <v>1236</v>
      </c>
      <c r="E534" s="9" t="s">
        <v>127</v>
      </c>
      <c r="F534" s="22" t="s">
        <v>947</v>
      </c>
      <c r="G534" s="22" t="s">
        <v>67</v>
      </c>
      <c r="H534" s="10" t="s">
        <v>134</v>
      </c>
      <c r="I534" s="16" t="s">
        <v>1237</v>
      </c>
    </row>
    <row r="535" spans="1:9" ht="102.75">
      <c r="A535" s="5">
        <v>43573</v>
      </c>
      <c r="B535" s="6" t="str">
        <f>HYPERLINK("https://www.kauffman.org/","Ewing Marion Kauffman Foundation")</f>
        <v>Ewing Marion Kauffman Foundation</v>
      </c>
      <c r="C535" s="15" t="s">
        <v>69</v>
      </c>
      <c r="D535" s="6" t="str">
        <f>HYPERLINK("https://www.kauffman.org/blogs/currents/2018/04/kauffman-knowledge-challenge-casts-wide-net-in-call-for-projects","Knowledge Challenge")</f>
        <v>Knowledge Challenge</v>
      </c>
      <c r="E535" s="9" t="s">
        <v>124</v>
      </c>
      <c r="F535" s="9" t="s">
        <v>163</v>
      </c>
      <c r="G535" s="10" t="s">
        <v>50</v>
      </c>
      <c r="H535" s="44" t="s">
        <v>314</v>
      </c>
      <c r="I535" s="46" t="s">
        <v>315</v>
      </c>
    </row>
    <row r="536" spans="1:9" ht="51">
      <c r="A536" s="31">
        <v>43588</v>
      </c>
      <c r="B536" s="32" t="str">
        <f>HYPERLINK("http://dallasinstitute.org/","Dallas Institute of Humanities and Culture")</f>
        <v>Dallas Institute of Humanities and Culture</v>
      </c>
      <c r="C536" s="59" t="s">
        <v>14</v>
      </c>
      <c r="D536" s="32" t="str">
        <f>HYPERLINK("http://dallasinstitute.org/hiett-prize-in-the-humanities-applications/","Hiett Prize in the Humanities")</f>
        <v>Hiett Prize in the Humanities</v>
      </c>
      <c r="E536" s="34" t="s">
        <v>40</v>
      </c>
      <c r="F536" s="36" t="s">
        <v>774</v>
      </c>
      <c r="G536" s="36"/>
      <c r="H536" s="37">
        <v>50000</v>
      </c>
      <c r="I536" s="38" t="s">
        <v>775</v>
      </c>
    </row>
    <row r="537" spans="1:9" ht="127.5">
      <c r="A537" s="31">
        <v>43600</v>
      </c>
      <c r="B537" s="32" t="str">
        <f>HYPERLINK("https://www.daad.de/en/","DAAD German Academic Exchange Service")</f>
        <v>DAAD German Academic Exchange Service</v>
      </c>
      <c r="C537" s="59" t="s">
        <v>14</v>
      </c>
      <c r="D537" s="32" t="str">
        <f>HYPERLINK("https://www.daad.de/deutschland/stipendium/datenbank/en/21148-scholarship-database/?status=&amp;origin=104&amp;subjectGrps=&amp;daad=1&amp;q=&amp;page=3&amp;detail=50015456","Research Stays for University Academics and Scientists")</f>
        <v>Research Stays for University Academics and Scientists</v>
      </c>
      <c r="E537" s="34" t="s">
        <v>10</v>
      </c>
      <c r="F537" s="36" t="s">
        <v>163</v>
      </c>
      <c r="G537" s="36"/>
      <c r="H537" s="37"/>
      <c r="I537" s="38" t="s">
        <v>265</v>
      </c>
    </row>
    <row r="538" spans="1:9" ht="102">
      <c r="A538" s="21">
        <v>43616</v>
      </c>
      <c r="B538" s="32" t="str">
        <f>HYPERLINK("https://www.sas.ac.uk/","Univeristy of London, School of Advanced Study")</f>
        <v>Univeristy of London, School of Advanced Study</v>
      </c>
      <c r="C538" s="59" t="s">
        <v>8</v>
      </c>
      <c r="D538" s="6" t="str">
        <f>HYPERLINK("https://commonwealth.sas.ac.uk/fellowships","Institute of Commonwealth Studies Fellowships")</f>
        <v>Institute of Commonwealth Studies Fellowships</v>
      </c>
      <c r="E538" s="34" t="s">
        <v>225</v>
      </c>
      <c r="F538" s="36" t="s">
        <v>157</v>
      </c>
      <c r="G538" s="44"/>
      <c r="H538" s="19" t="s">
        <v>155</v>
      </c>
      <c r="I538" s="40" t="s">
        <v>226</v>
      </c>
    </row>
    <row r="539" spans="1:9" ht="165.75">
      <c r="A539" s="5">
        <v>43617</v>
      </c>
      <c r="B539" s="6" t="str">
        <f>HYPERLINK("http://www.hedgebrook.org/","Hedgebrook")</f>
        <v>Hedgebrook</v>
      </c>
      <c r="C539" s="7" t="s">
        <v>14</v>
      </c>
      <c r="D539" s="6" t="str">
        <f>HYPERLINK("http://www.hedgebrook.org/writers-in-residence/","Writers in Residence")</f>
        <v>Writers in Residence</v>
      </c>
      <c r="E539" s="9" t="s">
        <v>490</v>
      </c>
      <c r="F539" s="10" t="s">
        <v>350</v>
      </c>
      <c r="G539" s="14"/>
      <c r="H539" s="14" t="s">
        <v>492</v>
      </c>
      <c r="I539" s="16" t="s">
        <v>493</v>
      </c>
    </row>
    <row r="540" spans="1:9" ht="216.75">
      <c r="A540" s="17">
        <v>43661</v>
      </c>
      <c r="B540" s="6" t="str">
        <f>HYPERLINK("http://artomi.org/","Art Omi")</f>
        <v>Art Omi</v>
      </c>
      <c r="C540" s="7" t="s">
        <v>14</v>
      </c>
      <c r="D540" s="6" t="str">
        <f>HYPERLINK("http://artomi.org/residencies/writers","Art Omi: Translation Lab")</f>
        <v>Art Omi: Translation Lab</v>
      </c>
      <c r="E540" s="9" t="s">
        <v>656</v>
      </c>
      <c r="F540" s="25" t="s">
        <v>833</v>
      </c>
      <c r="G540" s="25"/>
      <c r="H540" s="14" t="s">
        <v>839</v>
      </c>
      <c r="I540" s="16" t="s">
        <v>840</v>
      </c>
    </row>
    <row r="541" spans="1:9" ht="229.5">
      <c r="A541" s="5">
        <v>43692</v>
      </c>
      <c r="B541" s="6" t="str">
        <f>HYPERLINK("NSf.gov","National Science Foundation")</f>
        <v>National Science Foundation</v>
      </c>
      <c r="C541" s="7" t="s">
        <v>65</v>
      </c>
      <c r="D541" s="6" t="str">
        <f>HYPERLINK("https://www.nsf.gov/pubs/2018/nsf18560/nsf18560.pdf","Cultural Anthropology Senior Research Awards")</f>
        <v>Cultural Anthropology Senior Research Awards</v>
      </c>
      <c r="E541" s="9" t="s">
        <v>124</v>
      </c>
      <c r="F541" s="22" t="s">
        <v>947</v>
      </c>
      <c r="G541" s="21"/>
      <c r="H541" s="83"/>
      <c r="I541" s="16" t="s">
        <v>1218</v>
      </c>
    </row>
    <row r="542" spans="1:9" ht="114.75">
      <c r="A542" s="5">
        <v>43724</v>
      </c>
      <c r="B542" s="6" t="str">
        <f>HYPERLINK("nsf.gov","National Science Foundation")</f>
        <v>National Science Foundation</v>
      </c>
      <c r="C542" s="15" t="s">
        <v>65</v>
      </c>
      <c r="D542" s="6" t="str">
        <f>HYPERLINK("https://www.nsf.gov/pubs/2018/nsf18568/nsf18568.htm?WT.mc_id=USNSF_25&amp;WT.mc_ev=click","Computing and Communication Foundation programs")</f>
        <v>Computing and Communication Foundation programs</v>
      </c>
      <c r="E542" s="9" t="s">
        <v>60</v>
      </c>
      <c r="F542" s="10" t="s">
        <v>947</v>
      </c>
      <c r="G542" s="44"/>
      <c r="H542" s="14" t="s">
        <v>1082</v>
      </c>
      <c r="I542" s="16" t="s">
        <v>1083</v>
      </c>
    </row>
    <row r="543" spans="1:9" ht="89.25">
      <c r="A543" s="5">
        <v>43724</v>
      </c>
      <c r="B543" s="6" t="str">
        <f>HYPERLINK("nsf.gov","National Science Foundation")</f>
        <v>National Science Foundation</v>
      </c>
      <c r="C543" s="15" t="s">
        <v>65</v>
      </c>
      <c r="D543" s="6" t="str">
        <f>HYPERLINK("https://www.nsf.gov/pubs/2018/nsf18569/nsf18569.htm?WT.mc_id=USNSF_25&amp;WT.mc_ev=click","Computer and Network Systems")</f>
        <v>Computer and Network Systems</v>
      </c>
      <c r="E543" s="9" t="s">
        <v>60</v>
      </c>
      <c r="F543" s="10" t="s">
        <v>947</v>
      </c>
      <c r="G543" s="14"/>
      <c r="H543" s="10" t="s">
        <v>1082</v>
      </c>
      <c r="I543" s="16" t="s">
        <v>1084</v>
      </c>
    </row>
    <row r="544" spans="1:9" ht="114.75">
      <c r="A544" s="5">
        <v>43724</v>
      </c>
      <c r="B544" s="6" t="str">
        <f>HYPERLINK("nsf.gov","National Science Foundation")</f>
        <v>National Science Foundation</v>
      </c>
      <c r="C544" s="15" t="s">
        <v>65</v>
      </c>
      <c r="D544" s="6" t="str">
        <f>HYPERLINK("https://www.nsf.gov/pubs/2018/nsf18570/nsf18570.htm?WT.mc_id=USNSF_25&amp;WT.mc_ev=click","Information and intelligent Systems")</f>
        <v>Information and intelligent Systems</v>
      </c>
      <c r="E544" s="9" t="s">
        <v>60</v>
      </c>
      <c r="F544" s="10" t="s">
        <v>947</v>
      </c>
      <c r="G544" s="14"/>
      <c r="H544" s="44" t="s">
        <v>1082</v>
      </c>
      <c r="I544" s="16" t="s">
        <v>1085</v>
      </c>
    </row>
    <row r="545" spans="1:9" ht="76.5">
      <c r="A545" s="71">
        <v>43770</v>
      </c>
      <c r="B545" s="6" t="str">
        <f>HYPERLINK("https://www.archaeological.org","Archaeological Institute of America")</f>
        <v>Archaeological Institute of America</v>
      </c>
      <c r="C545" s="24" t="s">
        <v>14</v>
      </c>
      <c r="D545" s="68" t="str">
        <f>HYPERLINK("https://www.archaeological.org/grants/701","Helen M. Woodruff Fellowship of the AIA and the American Academy in Rome")</f>
        <v>Helen M. Woodruff Fellowship of the AIA and the American Academy in Rome</v>
      </c>
      <c r="E545" s="22" t="s">
        <v>639</v>
      </c>
      <c r="F545" s="44" t="s">
        <v>350</v>
      </c>
      <c r="G545" s="44"/>
      <c r="H545" s="19">
        <v>10000</v>
      </c>
      <c r="I545" s="47" t="s">
        <v>640</v>
      </c>
    </row>
    <row r="546" spans="1:9" ht="102">
      <c r="A546" s="31">
        <v>43770</v>
      </c>
      <c r="B546" s="32" t="str">
        <f>HYPERLINK("https://www.gladstoneslibrary.org/","Gladstone's Library, Wales")</f>
        <v>Gladstone's Library, Wales</v>
      </c>
      <c r="C546" s="59" t="s">
        <v>183</v>
      </c>
      <c r="D546" s="32" t="str">
        <f>HYPERLINK("https://www.gladstoneslibrary.org/accommodation/scholarships-bursaries","Residential Scholarships")</f>
        <v>Residential Scholarships</v>
      </c>
      <c r="E546" s="34" t="s">
        <v>159</v>
      </c>
      <c r="F546" s="36" t="s">
        <v>720</v>
      </c>
      <c r="G546" s="36"/>
      <c r="H546" s="37"/>
      <c r="I546" s="38" t="s">
        <v>721</v>
      </c>
    </row>
    <row r="547" spans="1:9" ht="89.25">
      <c r="A547" s="5">
        <v>43770</v>
      </c>
      <c r="B547" s="6" t="str">
        <f>HYPERLINK("https://www.archaeological.org","Archaeological Institute of America")</f>
        <v>Archaeological Institute of America</v>
      </c>
      <c r="C547" s="7" t="s">
        <v>14</v>
      </c>
      <c r="D547" s="68" t="str">
        <f>HYPERLINK("https://www.archaeological.org/grants/704","Harriet and Leon Pomerance Fellowship")</f>
        <v>Harriet and Leon Pomerance Fellowship</v>
      </c>
      <c r="E547" s="22" t="s">
        <v>705</v>
      </c>
      <c r="F547" s="44" t="s">
        <v>980</v>
      </c>
      <c r="G547" s="44"/>
      <c r="H547" s="19">
        <v>5000</v>
      </c>
      <c r="I547" s="26" t="s">
        <v>1232</v>
      </c>
    </row>
    <row r="548" spans="1:9" ht="293.25">
      <c r="A548" s="17">
        <v>43843</v>
      </c>
      <c r="B548" s="6" t="str">
        <f>HYPERLINK("http://hcl.harvard.edu/","Harvard Houghton LIbrary")</f>
        <v>Harvard Houghton LIbrary</v>
      </c>
      <c r="C548" s="24" t="s">
        <v>8</v>
      </c>
      <c r="D548" s="23" t="str">
        <f>HYPERLINK("https://library.harvard.edu/about/grants-fellowships/houghton-library-visiting-fellowships","Houghton Library Visiting Fellowship")</f>
        <v>Houghton Library Visiting Fellowship</v>
      </c>
      <c r="E548" s="22" t="s">
        <v>10</v>
      </c>
      <c r="F548" s="22" t="s">
        <v>350</v>
      </c>
      <c r="G548" s="22"/>
      <c r="H548" s="19">
        <v>3600</v>
      </c>
      <c r="I548" s="16" t="s">
        <v>533</v>
      </c>
    </row>
    <row r="549" spans="1:9" ht="140.25">
      <c r="A549" s="5">
        <v>43843</v>
      </c>
      <c r="B549" s="6" t="str">
        <f>HYPERLINK("http://www.huri.harvard.edu/","Ukranian Research institute Harvard University ")</f>
        <v xml:space="preserve">Ukranian Research institute Harvard University </v>
      </c>
      <c r="C549" s="15" t="s">
        <v>8</v>
      </c>
      <c r="D549" s="23" t="str">
        <f>HYPERLINK("http://www.huri.harvard.edu/fellowships-grants-internships/jacyk-fellowship/about-jacyk-fellowship.html","Petro Jacyk Distinguished Fellowship")</f>
        <v>Petro Jacyk Distinguished Fellowship</v>
      </c>
      <c r="E549" s="22" t="s">
        <v>563</v>
      </c>
      <c r="F549" s="44" t="s">
        <v>350</v>
      </c>
      <c r="G549" s="21"/>
      <c r="H549" s="10" t="s">
        <v>567</v>
      </c>
      <c r="I549" s="16" t="s">
        <v>568</v>
      </c>
    </row>
    <row r="550" spans="1:9" ht="38.25">
      <c r="A550" s="5">
        <v>43845</v>
      </c>
      <c r="B550" s="6" t="str">
        <f>HYPERLINK("https://www.archaeological.org/","Archaeological Institute of America")</f>
        <v>Archaeological Institute of America</v>
      </c>
      <c r="C550" s="15" t="s">
        <v>14</v>
      </c>
      <c r="D550" s="70" t="str">
        <f>HYPERLINK("https://www.archaeological.org/grants/703","Anna C. &amp; Oliver C. Colburn Fellowships")</f>
        <v>Anna C. &amp; Oliver C. Colburn Fellowships</v>
      </c>
      <c r="E550" s="22" t="s">
        <v>705</v>
      </c>
      <c r="F550" s="44" t="s">
        <v>687</v>
      </c>
      <c r="G550" s="44" t="s">
        <v>518</v>
      </c>
      <c r="H550" s="19">
        <v>5500</v>
      </c>
      <c r="I550" s="16" t="s">
        <v>710</v>
      </c>
    </row>
    <row r="551" spans="1:9" ht="89.25">
      <c r="A551" s="34" t="s">
        <v>171</v>
      </c>
      <c r="B551" s="32" t="str">
        <f>HYPERLINK("ihr.asu.edu/","Arizona State Institute for Humanities Research")</f>
        <v>Arizona State Institute for Humanities Research</v>
      </c>
      <c r="C551" s="59" t="s">
        <v>8</v>
      </c>
      <c r="D551" s="32" t="str">
        <f>HYPERLINK("https://ihr.asu.edu/fellows","Visiting Fellows Program")</f>
        <v>Visiting Fellows Program</v>
      </c>
      <c r="E551" s="34" t="s">
        <v>169</v>
      </c>
      <c r="F551" s="36" t="s">
        <v>163</v>
      </c>
      <c r="G551" s="36" t="s">
        <v>172</v>
      </c>
      <c r="H551" s="37"/>
      <c r="I551" s="38" t="s">
        <v>173</v>
      </c>
    </row>
    <row r="552" spans="1:9" ht="63.75">
      <c r="A552" s="34" t="s">
        <v>223</v>
      </c>
      <c r="B552" s="32" t="str">
        <f>HYPERLINK("https://berkshiretaconic.org/default.aspx","Berkshire Taconic Community Foundation")</f>
        <v>Berkshire Taconic Community Foundation</v>
      </c>
      <c r="C552" s="59" t="s">
        <v>14</v>
      </c>
      <c r="D552" s="32" t="str">
        <f>HYPERLINK("http://berkshiretaconic.org/bReceivebNonprofitsIndividuals/SearchApplyforGrants/TheAmyClampittResidencyProgram.aspx","The Amy Clampitt Residency Program")</f>
        <v>The Amy Clampitt Residency Program</v>
      </c>
      <c r="E552" s="34" t="s">
        <v>221</v>
      </c>
      <c r="F552" s="36" t="s">
        <v>163</v>
      </c>
      <c r="G552" s="36"/>
      <c r="H552" s="37"/>
      <c r="I552" s="38" t="s">
        <v>224</v>
      </c>
    </row>
    <row r="553" spans="1:9" ht="114.75">
      <c r="A553" s="5" t="s">
        <v>223</v>
      </c>
      <c r="B553" s="6" t="str">
        <f>HYPERLINK("http://www.teaglefoundation.org","Teagle Foundation")</f>
        <v>Teagle Foundation</v>
      </c>
      <c r="C553" s="15" t="s">
        <v>14</v>
      </c>
      <c r="D553" s="6" t="str">
        <f>HYPERLINK("http://www.teaglefoundation.org/Grants-Initiatives/How-We-Grant","Grants")</f>
        <v>Grants</v>
      </c>
      <c r="E553" s="9" t="s">
        <v>10</v>
      </c>
      <c r="F553" s="10" t="s">
        <v>759</v>
      </c>
      <c r="G553" s="14"/>
      <c r="H553" s="10" t="s">
        <v>760</v>
      </c>
      <c r="I553" s="16" t="s">
        <v>761</v>
      </c>
    </row>
    <row r="554" spans="1:9" ht="127.5">
      <c r="A554" s="5" t="s">
        <v>223</v>
      </c>
      <c r="B554" s="6" t="str">
        <f>HYPERLINK("https://www.whiting.org/","Whiting Foundation")</f>
        <v>Whiting Foundation</v>
      </c>
      <c r="C554" s="7" t="s">
        <v>14</v>
      </c>
      <c r="D554" s="8" t="s">
        <v>896</v>
      </c>
      <c r="E554" s="22" t="s">
        <v>897</v>
      </c>
      <c r="F554" s="10" t="s">
        <v>835</v>
      </c>
      <c r="G554" s="14"/>
      <c r="H554" s="19">
        <v>40000</v>
      </c>
      <c r="I554" s="16" t="s">
        <v>898</v>
      </c>
    </row>
    <row r="555" spans="1:9" ht="77.25">
      <c r="A555" s="22" t="s">
        <v>223</v>
      </c>
      <c r="B555" s="6" t="str">
        <f>HYPERLINK("http://dana.org/","Dana Foundation")</f>
        <v>Dana Foundation</v>
      </c>
      <c r="C555" s="15" t="s">
        <v>14</v>
      </c>
      <c r="D555" s="90" t="str">
        <f>HYPERLINK("http://dana.org/Grants/Guide/","The David Mahoney Neuroimaging Program")</f>
        <v>The David Mahoney Neuroimaging Program</v>
      </c>
      <c r="E555" s="22" t="s">
        <v>103</v>
      </c>
      <c r="F555" s="44" t="s">
        <v>947</v>
      </c>
      <c r="G555" s="44"/>
      <c r="H555" s="14"/>
      <c r="I555" s="84" t="s">
        <v>1169</v>
      </c>
    </row>
    <row r="556" spans="1:9" ht="77.25">
      <c r="A556" s="22" t="s">
        <v>223</v>
      </c>
      <c r="B556" s="6" t="str">
        <f>HYPERLINK("http://dana.org/","Dana Foundation")</f>
        <v>Dana Foundation</v>
      </c>
      <c r="C556" s="15" t="s">
        <v>14</v>
      </c>
      <c r="D556" s="90" t="str">
        <f>HYPERLINK("http://dana.org/Grants/Guide/","Clinical Neuro­science Research")</f>
        <v>Clinical Neuro­science Research</v>
      </c>
      <c r="E556" s="22" t="s">
        <v>103</v>
      </c>
      <c r="F556" s="44" t="s">
        <v>947</v>
      </c>
      <c r="G556" s="44"/>
      <c r="H556" s="44"/>
      <c r="I556" s="84" t="s">
        <v>1170</v>
      </c>
    </row>
    <row r="557" spans="1:9" ht="127.5">
      <c r="A557" s="22" t="s">
        <v>1335</v>
      </c>
      <c r="B557" s="6" t="str">
        <f>HYPERLINK("https://forwomen.org/","OpEd Project/Ms. Foundation")</f>
        <v>OpEd Project/Ms. Foundation</v>
      </c>
      <c r="C557" s="7" t="s">
        <v>14</v>
      </c>
      <c r="D557" s="6" t="str">
        <f>HYPERLINK("https://forwomen.org/grants-2/public-voices/","Public Voices Fellowship")</f>
        <v>Public Voices Fellowship</v>
      </c>
      <c r="E557" s="22" t="s">
        <v>873</v>
      </c>
      <c r="F557" s="44"/>
      <c r="G557" s="44"/>
      <c r="H557" s="14"/>
      <c r="I557" s="16" t="s">
        <v>1336</v>
      </c>
    </row>
    <row r="558" spans="1:9" ht="216.75">
      <c r="A558" s="22" t="s">
        <v>318</v>
      </c>
      <c r="B558" s="6" t="str">
        <f>HYPERLINK("https://www.carnegie.org/","Carnegie Corporation")</f>
        <v>Carnegie Corporation</v>
      </c>
      <c r="C558" s="7" t="s">
        <v>14</v>
      </c>
      <c r="D558" s="6" t="str">
        <f>HYPERLINK("https://www.carnegie.org/news/articles/andrew-carnegie-fellows-application-information/","Andrew Carnegie Fellows Program")</f>
        <v>Andrew Carnegie Fellows Program</v>
      </c>
      <c r="E558" s="22" t="s">
        <v>10</v>
      </c>
      <c r="F558" s="44" t="s">
        <v>163</v>
      </c>
      <c r="G558" s="44" t="s">
        <v>319</v>
      </c>
      <c r="H558" s="14" t="s">
        <v>320</v>
      </c>
      <c r="I558" s="16" t="s">
        <v>321</v>
      </c>
    </row>
    <row r="559" spans="1:9" ht="89.25">
      <c r="A559" s="22" t="s">
        <v>1243</v>
      </c>
      <c r="B559" s="6" t="str">
        <f>HYPERLINK("https://wellcome.ac.uk/","Wellcome Trust")</f>
        <v>Wellcome Trust</v>
      </c>
      <c r="C559" s="7" t="s">
        <v>90</v>
      </c>
      <c r="D559" s="6" t="str">
        <f>HYPERLINK("https://wellcome.ac.uk/press-release/wellcome-launches-%C2%A3250m-leap-fund-place-big-bets-bold-research","Leap Fund")</f>
        <v>Leap Fund</v>
      </c>
      <c r="E559" s="9" t="s">
        <v>1244</v>
      </c>
      <c r="F559" s="10" t="s">
        <v>980</v>
      </c>
      <c r="G559" s="14"/>
      <c r="H559" s="14" t="s">
        <v>1245</v>
      </c>
      <c r="I559" s="16" t="s">
        <v>1246</v>
      </c>
    </row>
    <row r="560" spans="1:9" ht="76.5">
      <c r="A560" s="71" t="s">
        <v>266</v>
      </c>
      <c r="B560" s="6" t="str">
        <f>HYPERLINK("https://www.acls.org/","American Council of Learned Societies")</f>
        <v>American Council of Learned Societies</v>
      </c>
      <c r="C560" s="7" t="s">
        <v>14</v>
      </c>
      <c r="D560" s="6" t="str">
        <f>HYPERLINK("https://www.acls.org/programs/collaborative/","ACLS Collaborative Research Fellowships")</f>
        <v>ACLS Collaborative Research Fellowships</v>
      </c>
      <c r="E560" s="22" t="s">
        <v>10</v>
      </c>
      <c r="F560" s="44" t="s">
        <v>163</v>
      </c>
      <c r="G560" s="44"/>
      <c r="H560" s="14" t="s">
        <v>267</v>
      </c>
      <c r="I560" s="16" t="s">
        <v>268</v>
      </c>
    </row>
    <row r="561" spans="1:9" ht="140.25">
      <c r="A561" s="22" t="s">
        <v>675</v>
      </c>
      <c r="B561" s="6" t="str">
        <f>HYPERLINK("nih.gov","National Institutes of Health")</f>
        <v>National Institutes of Health</v>
      </c>
      <c r="C561" s="7" t="s">
        <v>65</v>
      </c>
      <c r="D561" s="6" t="str">
        <f>HYPERLINK("https://grants.nih.gov/grants/guide/pa-files/PA-16-310.html","Individual Fellowships for Senior Fellows (F33)")</f>
        <v>Individual Fellowships for Senior Fellows (F33)</v>
      </c>
      <c r="E561" s="22" t="s">
        <v>95</v>
      </c>
      <c r="F561" s="44" t="s">
        <v>670</v>
      </c>
      <c r="G561" s="44" t="s">
        <v>676</v>
      </c>
      <c r="H561" s="14"/>
      <c r="I561" s="16" t="s">
        <v>677</v>
      </c>
    </row>
    <row r="562" spans="1:9" ht="76.5">
      <c r="A562" s="22" t="s">
        <v>1383</v>
      </c>
      <c r="B562" s="6" t="str">
        <f>HYPERLINK("http://www.miltonandsallyaveryartsfoundation.com/","Milton and Sally Avery Arts Foundation")</f>
        <v>Milton and Sally Avery Arts Foundation</v>
      </c>
      <c r="C562" s="15" t="s">
        <v>14</v>
      </c>
      <c r="D562" s="24" t="s">
        <v>720</v>
      </c>
      <c r="E562" s="22"/>
      <c r="F562" s="44"/>
      <c r="G562" s="44"/>
      <c r="H562" s="44"/>
      <c r="I562" s="16" t="s">
        <v>1384</v>
      </c>
    </row>
    <row r="563" spans="1:9" ht="127.5">
      <c r="A563" s="22" t="s">
        <v>136</v>
      </c>
      <c r="B563" s="6" t="str">
        <f>HYPERLINK("http://europe.columbia.edu/","European Institute, Columbia University")</f>
        <v>European Institute, Columbia University</v>
      </c>
      <c r="C563" s="7" t="s">
        <v>8</v>
      </c>
      <c r="D563" s="8" t="str">
        <f>HYPERLINK("http://europe.columbia.edu/funding/faculty-research-grants/","EI Faculty Grants")</f>
        <v>EI Faculty Grants</v>
      </c>
      <c r="E563" s="44" t="s">
        <v>137</v>
      </c>
      <c r="F563" s="10" t="s">
        <v>138</v>
      </c>
      <c r="G563" s="21"/>
      <c r="H563" s="21"/>
      <c r="I563" s="29" t="s">
        <v>139</v>
      </c>
    </row>
    <row r="564" spans="1:9" ht="306">
      <c r="A564" s="22" t="s">
        <v>136</v>
      </c>
      <c r="B564" s="6" t="str">
        <f>HYPERLINK("https://www.ssrc.org/","Social Science Research Council")</f>
        <v>Social Science Research Council</v>
      </c>
      <c r="C564" s="15" t="s">
        <v>14</v>
      </c>
      <c r="D564" s="6" t="str">
        <f>HYPERLINK("https://www.ssrc.org/fellowships/view/dsd-fellowship/","Drugs, Security and Democracy (DSD) Program fellowship")</f>
        <v>Drugs, Security and Democracy (DSD) Program fellowship</v>
      </c>
      <c r="E564" s="9" t="s">
        <v>124</v>
      </c>
      <c r="F564" s="10" t="s">
        <v>163</v>
      </c>
      <c r="G564" s="14"/>
      <c r="H564" s="14" t="s">
        <v>316</v>
      </c>
      <c r="I564" s="16" t="s">
        <v>317</v>
      </c>
    </row>
    <row r="565" spans="1:9" ht="178.5">
      <c r="A565" s="22" t="s">
        <v>136</v>
      </c>
      <c r="B565" s="6" t="str">
        <f>HYPERLINK("https://www.sfari.org","Simons Foundation")</f>
        <v>Simons Foundation</v>
      </c>
      <c r="C565" s="7" t="s">
        <v>14</v>
      </c>
      <c r="D565" s="6" t="str">
        <f>HYPERLINK("https://www.sfari.org/grant/explorer-awards-rfa/","Pilot and Research Awards")</f>
        <v>Pilot and Research Awards</v>
      </c>
      <c r="E565" s="9" t="s">
        <v>60</v>
      </c>
      <c r="F565" s="10" t="s">
        <v>947</v>
      </c>
      <c r="G565" s="14"/>
      <c r="H565" s="10" t="s">
        <v>1086</v>
      </c>
      <c r="I565" s="16" t="s">
        <v>1087</v>
      </c>
    </row>
    <row r="566" spans="1:9" ht="166.5">
      <c r="A566" s="22" t="s">
        <v>136</v>
      </c>
      <c r="B566" s="24" t="s">
        <v>1115</v>
      </c>
      <c r="C566" s="7" t="s">
        <v>90</v>
      </c>
      <c r="D566" s="24" t="s">
        <v>1116</v>
      </c>
      <c r="E566" s="9" t="s">
        <v>1117</v>
      </c>
      <c r="F566" s="10" t="s">
        <v>947</v>
      </c>
      <c r="G566" s="10"/>
      <c r="H566" s="44" t="s">
        <v>795</v>
      </c>
      <c r="I566" s="87" t="s">
        <v>1118</v>
      </c>
    </row>
    <row r="567" spans="1:9" ht="76.5">
      <c r="A567" s="22" t="s">
        <v>136</v>
      </c>
      <c r="B567" s="6" t="str">
        <f>HYPERLINK("https://www.archaeological.org","Archaeological Institute of America")</f>
        <v>Archaeological Institute of America</v>
      </c>
      <c r="C567" s="7" t="s">
        <v>14</v>
      </c>
      <c r="D567" s="6" t="str">
        <f>HYPERLINK("https://www.archaeological.org/grants/10032","Cotsen Excavation Grants")</f>
        <v>Cotsen Excavation Grants</v>
      </c>
      <c r="E567" s="9" t="s">
        <v>705</v>
      </c>
      <c r="F567" s="10" t="s">
        <v>1260</v>
      </c>
      <c r="G567" s="10" t="s">
        <v>1262</v>
      </c>
      <c r="H567" s="44" t="s">
        <v>769</v>
      </c>
      <c r="I567" s="16" t="s">
        <v>1263</v>
      </c>
    </row>
    <row r="568" spans="1:9" ht="165.75">
      <c r="A568" s="22" t="s">
        <v>453</v>
      </c>
      <c r="B568" s="6" t="str">
        <f>HYPERLINK("https://humanitieswritlarge.duke.edu/","Humanities Writ Large Duke University")</f>
        <v>Humanities Writ Large Duke University</v>
      </c>
      <c r="C568" s="7" t="s">
        <v>8</v>
      </c>
      <c r="D568" s="6" t="str">
        <f>HYPERLINK("https://humanitieswritlarge.duke.edu/","Humanities Writ Large Visiting Faculty Fellows")</f>
        <v>Humanities Writ Large Visiting Faculty Fellows</v>
      </c>
      <c r="E568" s="9" t="s">
        <v>159</v>
      </c>
      <c r="F568" s="25" t="s">
        <v>350</v>
      </c>
      <c r="G568" s="25"/>
      <c r="H568" s="44"/>
      <c r="I568" s="16" t="s">
        <v>454</v>
      </c>
    </row>
    <row r="569" spans="1:9" ht="267.75">
      <c r="A569" s="5" t="s">
        <v>13</v>
      </c>
      <c r="B569" s="6" t="str">
        <f>HYPERLINK("https://www.wilsoncenter.org/","Wilson Center")</f>
        <v>Wilson Center</v>
      </c>
      <c r="C569" s="24" t="s">
        <v>14</v>
      </c>
      <c r="D569" s="6" t="str">
        <f>HYPERLINK("https://www.wilsoncenter.org/supporting-cold-war-research","Support Grants")</f>
        <v>Support Grants</v>
      </c>
      <c r="E569" s="9" t="s">
        <v>15</v>
      </c>
      <c r="F569" s="44" t="s">
        <v>16</v>
      </c>
      <c r="G569" s="44"/>
      <c r="H569" s="44"/>
      <c r="I569" s="16" t="s">
        <v>17</v>
      </c>
    </row>
    <row r="570" spans="1:9" ht="382.5">
      <c r="A570" s="5" t="s">
        <v>46</v>
      </c>
      <c r="B570" s="6" t="str">
        <f>HYPERLINK("http://delmas.org/","Gladys Krieble Delmas Foundation")</f>
        <v>Gladys Krieble Delmas Foundation</v>
      </c>
      <c r="C570" s="15" t="s">
        <v>14</v>
      </c>
      <c r="D570" s="8" t="s">
        <v>39</v>
      </c>
      <c r="E570" s="9" t="s">
        <v>40</v>
      </c>
      <c r="F570" s="10" t="s">
        <v>19</v>
      </c>
      <c r="G570" s="14"/>
      <c r="H570" s="44"/>
      <c r="I570" s="16" t="s">
        <v>47</v>
      </c>
    </row>
    <row r="571" spans="1:9" ht="89.25">
      <c r="A571" s="5" t="s">
        <v>46</v>
      </c>
      <c r="B571" s="6" t="str">
        <f>HYPERLINK("https://www.rusaupdate.org/","RUSA Update")</f>
        <v>RUSA Update</v>
      </c>
      <c r="C571" s="7" t="s">
        <v>14</v>
      </c>
      <c r="D571" s="23" t="str">
        <f>HYPERLINK("https://www.rusaupdate.org/awards/hs-learning-history-research-and-innovation-award/","Gale Cengage History Research and Innovation Award")</f>
        <v>Gale Cengage History Research and Innovation Award</v>
      </c>
      <c r="E571" s="9" t="s">
        <v>58</v>
      </c>
      <c r="F571" s="10" t="s">
        <v>22</v>
      </c>
      <c r="G571" s="12"/>
      <c r="H571" s="19">
        <v>2500</v>
      </c>
      <c r="I571" s="16" t="s">
        <v>59</v>
      </c>
    </row>
    <row r="572" spans="1:9" ht="102">
      <c r="A572" s="5" t="s">
        <v>13</v>
      </c>
      <c r="B572" s="6" t="str">
        <f>HYPERLINK("nsf.gov","National Science Foundation")</f>
        <v>National Science Foundation</v>
      </c>
      <c r="C572" s="7" t="s">
        <v>65</v>
      </c>
      <c r="D572" s="6" t="str">
        <f>HYPERLINK("https://www.nsf.gov/funding/pgm_summ.jsp?pims_id=11701&amp;org=DMS&amp;from=home","Conferences and Workshops in the Mathematical Sciences")</f>
        <v>Conferences and Workshops in the Mathematical Sciences</v>
      </c>
      <c r="E572" s="9" t="s">
        <v>101</v>
      </c>
      <c r="F572" s="10" t="s">
        <v>140</v>
      </c>
      <c r="G572" s="44"/>
      <c r="H572" s="44"/>
      <c r="I572" s="16" t="s">
        <v>141</v>
      </c>
    </row>
    <row r="573" spans="1:9" ht="127.5">
      <c r="A573" s="5" t="s">
        <v>46</v>
      </c>
      <c r="B573" s="6" t="str">
        <f>HYPERLINK("https://www.foundationforcontemporaryarts.org/","Foundation for Contemporary Arts")</f>
        <v>Foundation for Contemporary Arts</v>
      </c>
      <c r="C573" s="15" t="s">
        <v>14</v>
      </c>
      <c r="D573" s="8" t="s">
        <v>147</v>
      </c>
      <c r="E573" s="9" t="s">
        <v>49</v>
      </c>
      <c r="F573" s="44" t="s">
        <v>148</v>
      </c>
      <c r="G573" s="44"/>
      <c r="H573" s="14" t="s">
        <v>149</v>
      </c>
      <c r="I573" s="16" t="s">
        <v>150</v>
      </c>
    </row>
    <row r="574" spans="1:9" ht="216.75">
      <c r="A574" s="22" t="s">
        <v>46</v>
      </c>
      <c r="B574" s="6" t="str">
        <f>HYPERLINK("https://nyuad.nyu.edu/en/","New York University Abu Dhabi Institute")</f>
        <v>New York University Abu Dhabi Institute</v>
      </c>
      <c r="C574" s="15" t="s">
        <v>8</v>
      </c>
      <c r="D574" s="6" t="str">
        <f>HYPERLINK("https://nyuad.nyu.edu/en/research/centers-labs-and-projects/humanities-research-fellowship-program.html","Humanities Research Fellowship")</f>
        <v>Humanities Research Fellowship</v>
      </c>
      <c r="E574" s="9" t="s">
        <v>174</v>
      </c>
      <c r="F574" s="44" t="s">
        <v>163</v>
      </c>
      <c r="G574" s="44" t="s">
        <v>175</v>
      </c>
      <c r="H574" s="19"/>
      <c r="I574" s="16" t="s">
        <v>176</v>
      </c>
    </row>
    <row r="575" spans="1:9" ht="114.75">
      <c r="A575" s="22" t="s">
        <v>46</v>
      </c>
      <c r="B575" s="32" t="str">
        <f>HYPERLINK("https://www.sas.ac.uk/","Univeristy of London, School of Advanced Study")</f>
        <v>Univeristy of London, School of Advanced Study</v>
      </c>
      <c r="C575" s="59" t="s">
        <v>8</v>
      </c>
      <c r="D575" s="24" t="s">
        <v>199</v>
      </c>
      <c r="E575" s="34" t="s">
        <v>200</v>
      </c>
      <c r="F575" s="36" t="s">
        <v>157</v>
      </c>
      <c r="G575" s="14"/>
      <c r="H575" s="19"/>
      <c r="I575" s="40" t="s">
        <v>201</v>
      </c>
    </row>
    <row r="576" spans="1:9" ht="127.5">
      <c r="A576" s="5" t="s">
        <v>13</v>
      </c>
      <c r="B576" s="6" t="str">
        <f>HYPERLINK("https://www.humboldt-foundation.de","Humboldt Foundation")</f>
        <v>Humboldt Foundation</v>
      </c>
      <c r="C576" s="15" t="s">
        <v>14</v>
      </c>
      <c r="D576" s="6" t="str">
        <f>HYPERLINK("https://www.humboldt-foundation.de/web/humboldt-fellowship-postdoc.html","Humboldt Research Fellowship for Postdoctoral Researchers")</f>
        <v>Humboldt Research Fellowship for Postdoctoral Researchers</v>
      </c>
      <c r="E576" s="9" t="s">
        <v>10</v>
      </c>
      <c r="F576" s="10" t="s">
        <v>163</v>
      </c>
      <c r="G576" s="14" t="s">
        <v>269</v>
      </c>
      <c r="H576" s="19"/>
      <c r="I576" s="16" t="s">
        <v>270</v>
      </c>
    </row>
    <row r="577" spans="1:9" ht="38.25">
      <c r="A577" s="5" t="s">
        <v>46</v>
      </c>
      <c r="B577" s="6" t="str">
        <f>HYPERLINK("http://www1.mville.edu/","Manhattanville College")</f>
        <v>Manhattanville College</v>
      </c>
      <c r="C577" s="15" t="s">
        <v>8</v>
      </c>
      <c r="D577" s="23" t="str">
        <f>HYPERLINK("http://www1.mville.edu/grants/GrantDescriptionPages/Earhart.htm","Earhart Foundation Fellowship")</f>
        <v>Earhart Foundation Fellowship</v>
      </c>
      <c r="E577" s="9" t="s">
        <v>10</v>
      </c>
      <c r="F577" s="44" t="s">
        <v>163</v>
      </c>
      <c r="G577" s="44"/>
      <c r="H577" s="14" t="s">
        <v>271</v>
      </c>
      <c r="I577" s="16" t="s">
        <v>272</v>
      </c>
    </row>
    <row r="578" spans="1:9" ht="178.5">
      <c r="A578" s="71" t="s">
        <v>13</v>
      </c>
      <c r="B578" s="6" t="str">
        <f>HYPERLINK("https://www.humboldt-foundation.de","Humboldt Foundation")</f>
        <v>Humboldt Foundation</v>
      </c>
      <c r="C578" s="15" t="s">
        <v>14</v>
      </c>
      <c r="D578" s="6" t="str">
        <f>HYPERLINK("https://www.humboldt-foundation.de/web/humboldt-fellowship-experienced.html","Humboldt Research Fellowship for Experienced Researchers")</f>
        <v>Humboldt Research Fellowship for Experienced Researchers</v>
      </c>
      <c r="E578" s="9" t="s">
        <v>10</v>
      </c>
      <c r="F578" s="10" t="s">
        <v>350</v>
      </c>
      <c r="G578" s="14" t="s">
        <v>534</v>
      </c>
      <c r="H578" s="19"/>
      <c r="I578" s="16" t="s">
        <v>535</v>
      </c>
    </row>
    <row r="579" spans="1:9" ht="89.25">
      <c r="A579" s="5" t="s">
        <v>46</v>
      </c>
      <c r="B579" s="6" t="str">
        <f>HYPERLINK("https://www.usip.org","U.S. Institute of Peace")</f>
        <v>U.S. Institute of Peace</v>
      </c>
      <c r="C579" s="15" t="s">
        <v>14</v>
      </c>
      <c r="D579" s="8" t="s">
        <v>536</v>
      </c>
      <c r="E579" s="9" t="s">
        <v>10</v>
      </c>
      <c r="F579" s="10" t="s">
        <v>367</v>
      </c>
      <c r="G579" s="14"/>
      <c r="H579" s="14" t="s">
        <v>537</v>
      </c>
      <c r="I579" s="16" t="s">
        <v>538</v>
      </c>
    </row>
    <row r="580" spans="1:9" ht="102">
      <c r="A580" s="17" t="s">
        <v>46</v>
      </c>
      <c r="B580" s="6" t="str">
        <f>HYPERLINK("https://dayan.org/","Tel Aviv University")</f>
        <v>Tel Aviv University</v>
      </c>
      <c r="C580" s="15" t="s">
        <v>8</v>
      </c>
      <c r="D580" s="6" t="str">
        <f>HYPERLINK("http://dayan.org/visiting-scholars","Visiting Scholars")</f>
        <v>Visiting Scholars</v>
      </c>
      <c r="E580" s="9" t="s">
        <v>580</v>
      </c>
      <c r="F580" s="10" t="s">
        <v>350</v>
      </c>
      <c r="G580" s="14"/>
      <c r="H580" s="10" t="s">
        <v>574</v>
      </c>
      <c r="I580" s="16" t="s">
        <v>593</v>
      </c>
    </row>
    <row r="581" spans="1:9" ht="89.25">
      <c r="A581" s="34" t="s">
        <v>13</v>
      </c>
      <c r="B581" s="32" t="str">
        <f>HYPERLINK("https://www.aarweb.org/","American Academy of Religion")</f>
        <v>American Academy of Religion</v>
      </c>
      <c r="C581" s="59" t="s">
        <v>8</v>
      </c>
      <c r="D581" s="32" t="str">
        <f>HYPERLINK("https://www.aarweb.org/programs-services/grants-awards","Individual and Collaborative Grants")</f>
        <v>Individual and Collaborative Grants</v>
      </c>
      <c r="E581" s="34" t="s">
        <v>202</v>
      </c>
      <c r="F581" s="36" t="s">
        <v>720</v>
      </c>
      <c r="G581" s="36"/>
      <c r="H581" s="37" t="s">
        <v>726</v>
      </c>
      <c r="I581" s="38" t="s">
        <v>727</v>
      </c>
    </row>
    <row r="582" spans="1:9" ht="89.25">
      <c r="A582" s="17" t="s">
        <v>13</v>
      </c>
      <c r="B582" s="6" t="str">
        <f>HYPERLINK("http://www.cornelldouglas.org/","Cornell Douglas Foundation")</f>
        <v>Cornell Douglas Foundation</v>
      </c>
      <c r="C582" s="15" t="s">
        <v>14</v>
      </c>
      <c r="D582" s="6" t="str">
        <f>HYPERLINK("http://www.cornelldouglas.org/apply","Grants")</f>
        <v>Grants</v>
      </c>
      <c r="E582" s="9" t="s">
        <v>751</v>
      </c>
      <c r="F582" s="25" t="s">
        <v>752</v>
      </c>
      <c r="G582" s="25"/>
      <c r="H582" s="10" t="s">
        <v>755</v>
      </c>
      <c r="I582" s="16" t="s">
        <v>756</v>
      </c>
    </row>
    <row r="583" spans="1:9" ht="153">
      <c r="A583" s="5" t="s">
        <v>13</v>
      </c>
      <c r="B583" s="6" t="str">
        <f>HYPERLINK("https://boulwarefoundation.org/","Boulware Foundation")</f>
        <v>Boulware Foundation</v>
      </c>
      <c r="C583" s="7" t="s">
        <v>14</v>
      </c>
      <c r="D583" s="6" t="str">
        <f>HYPERLINK("https://boulwarefoundation.org/grantguidelines/","Grants")</f>
        <v>Grants</v>
      </c>
      <c r="E583" s="9" t="s">
        <v>776</v>
      </c>
      <c r="F583" s="10" t="s">
        <v>777</v>
      </c>
      <c r="G583" s="10"/>
      <c r="H583" s="44" t="s">
        <v>778</v>
      </c>
      <c r="I583" s="16" t="s">
        <v>779</v>
      </c>
    </row>
    <row r="584" spans="1:9" ht="140.25">
      <c r="A584" s="71" t="s">
        <v>46</v>
      </c>
      <c r="B584" s="64" t="str">
        <f>HYPERLINK("http://research.unc.edu/","University of North Carolina")</f>
        <v>University of North Carolina</v>
      </c>
      <c r="C584" s="22" t="s">
        <v>8</v>
      </c>
      <c r="D584" s="64" t="str">
        <f>HYPERLINK("http://research.unc.edu/carolina-postdocs/","Carolina Minority Postdoctoral Scholars Program")</f>
        <v>Carolina Minority Postdoctoral Scholars Program</v>
      </c>
      <c r="E584" s="9" t="s">
        <v>10</v>
      </c>
      <c r="F584" s="10" t="s">
        <v>777</v>
      </c>
      <c r="G584" s="10" t="s">
        <v>782</v>
      </c>
      <c r="H584" s="19" t="s">
        <v>783</v>
      </c>
      <c r="I584" s="40" t="s">
        <v>784</v>
      </c>
    </row>
    <row r="585" spans="1:9" ht="165.75">
      <c r="A585" s="5" t="s">
        <v>46</v>
      </c>
      <c r="B585" s="6" t="str">
        <f>HYPERLINK("http://pkf.org/","Pollock Krasner Foundation")</f>
        <v>Pollock Krasner Foundation</v>
      </c>
      <c r="C585" s="7" t="s">
        <v>14</v>
      </c>
      <c r="D585" s="8" t="s">
        <v>812</v>
      </c>
      <c r="E585" s="9" t="s">
        <v>871</v>
      </c>
      <c r="F585" s="10" t="s">
        <v>833</v>
      </c>
      <c r="G585" s="14"/>
      <c r="H585" s="14" t="s">
        <v>694</v>
      </c>
      <c r="I585" s="16" t="s">
        <v>872</v>
      </c>
    </row>
    <row r="586" spans="1:9" ht="89.25">
      <c r="A586" s="5" t="s">
        <v>46</v>
      </c>
      <c r="B586" s="6" t="str">
        <f>HYPERLINK("https://www.theinvestigativefund.org","Puffin Foundation Investigative Fund")</f>
        <v>Puffin Foundation Investigative Fund</v>
      </c>
      <c r="C586" s="7" t="s">
        <v>14</v>
      </c>
      <c r="D586" s="8" t="s">
        <v>883</v>
      </c>
      <c r="E586" s="9" t="s">
        <v>10</v>
      </c>
      <c r="F586" s="22" t="s">
        <v>833</v>
      </c>
      <c r="G586" s="44"/>
      <c r="H586" s="44"/>
      <c r="I586" s="16" t="s">
        <v>884</v>
      </c>
    </row>
    <row r="587" spans="1:9" ht="306">
      <c r="A587" s="5" t="s">
        <v>13</v>
      </c>
      <c r="B587" s="6" t="str">
        <f>HYPERLINK("http://roddenberryfoundation.org/","Roddenberry Foundation")</f>
        <v>Roddenberry Foundation</v>
      </c>
      <c r="C587" s="15" t="s">
        <v>14</v>
      </c>
      <c r="D587" s="6" t="str">
        <f>HYPERLINK("http://roddenberryfoundation.org/our-work/the-catalyst-fund/","The Catalyst Fund")</f>
        <v>The Catalyst Fund</v>
      </c>
      <c r="E587" s="9" t="s">
        <v>10</v>
      </c>
      <c r="F587" s="10" t="s">
        <v>833</v>
      </c>
      <c r="G587" s="14"/>
      <c r="H587" s="44" t="s">
        <v>885</v>
      </c>
      <c r="I587" s="16" t="s">
        <v>886</v>
      </c>
    </row>
    <row r="588" spans="1:9" ht="114.75">
      <c r="A588" s="5" t="s">
        <v>46</v>
      </c>
      <c r="B588" s="6" t="str">
        <f>HYPERLINK("http://www.chibs.edu.tw/","Chung-Hwa Institute of Buddhist Studies")</f>
        <v>Chung-Hwa Institute of Buddhist Studies</v>
      </c>
      <c r="C588" s="7" t="s">
        <v>14</v>
      </c>
      <c r="D588" s="23" t="str">
        <f>HYPERLINK("http://www.chibs.edu.tw/eng_html/index_eng00_07.html","Grant for Book-length Monographs")</f>
        <v>Grant for Book-length Monographs</v>
      </c>
      <c r="E588" s="22" t="s">
        <v>544</v>
      </c>
      <c r="F588" s="10" t="s">
        <v>833</v>
      </c>
      <c r="G588" s="44"/>
      <c r="H588" s="44"/>
      <c r="I588" s="47" t="s">
        <v>888</v>
      </c>
    </row>
    <row r="589" spans="1:9" ht="38.25">
      <c r="A589" s="5" t="s">
        <v>46</v>
      </c>
      <c r="B589" s="6" t="str">
        <f>HYPERLINK("https://www.acs.org/","American Chemistry Society")</f>
        <v>American Chemistry Society</v>
      </c>
      <c r="C589" s="7" t="s">
        <v>14</v>
      </c>
      <c r="D589" s="8" t="s">
        <v>902</v>
      </c>
      <c r="E589" s="9" t="s">
        <v>80</v>
      </c>
      <c r="F589" s="10" t="s">
        <v>903</v>
      </c>
      <c r="G589" s="14"/>
      <c r="H589" s="14" t="s">
        <v>904</v>
      </c>
      <c r="I589" s="16" t="s">
        <v>905</v>
      </c>
    </row>
    <row r="590" spans="1:9" ht="63.75">
      <c r="A590" s="5" t="s">
        <v>46</v>
      </c>
      <c r="B590" s="6" t="str">
        <f>HYPERLINK("https://www.carnegie.org/","Carnegie Corporation")</f>
        <v>Carnegie Corporation</v>
      </c>
      <c r="C590" s="15" t="s">
        <v>14</v>
      </c>
      <c r="D590" s="6" t="str">
        <f>HYPERLINK("https://www.carnegie.org/grants/","Grants")</f>
        <v>Grants</v>
      </c>
      <c r="E590" s="9" t="s">
        <v>10</v>
      </c>
      <c r="F590" s="10" t="s">
        <v>906</v>
      </c>
      <c r="G590" s="14"/>
      <c r="H590" s="44" t="s">
        <v>760</v>
      </c>
      <c r="I590" s="16" t="s">
        <v>908</v>
      </c>
    </row>
    <row r="591" spans="1:9" ht="51">
      <c r="A591" s="5" t="s">
        <v>13</v>
      </c>
      <c r="B591" s="6" t="str">
        <f>HYPERLINK("http://humanitiesny.org","Humanities New York")</f>
        <v>Humanities New York</v>
      </c>
      <c r="C591" s="7" t="s">
        <v>217</v>
      </c>
      <c r="D591" s="6" t="str">
        <f>HYPERLINK("http://humanitiesny.org/our-work/grants/","Quick Grants")</f>
        <v>Quick Grants</v>
      </c>
      <c r="E591" s="22" t="s">
        <v>40</v>
      </c>
      <c r="F591" s="10" t="s">
        <v>920</v>
      </c>
      <c r="G591" s="44"/>
      <c r="H591" s="19">
        <v>500</v>
      </c>
      <c r="I591" s="47" t="s">
        <v>923</v>
      </c>
    </row>
    <row r="592" spans="1:9" ht="140.25">
      <c r="A592" s="5" t="s">
        <v>13</v>
      </c>
      <c r="B592" s="6" t="str">
        <f>HYPERLINK("http://humanitiesny.org","Humanities New York")</f>
        <v>Humanities New York</v>
      </c>
      <c r="C592" s="15" t="s">
        <v>217</v>
      </c>
      <c r="D592" s="6" t="str">
        <f>HYPERLINK("http://humanitiesny.org/our-work/grants/","Vision Grants")</f>
        <v>Vision Grants</v>
      </c>
      <c r="E592" s="9" t="s">
        <v>40</v>
      </c>
      <c r="F592" s="10" t="s">
        <v>920</v>
      </c>
      <c r="G592" s="21"/>
      <c r="H592" s="19">
        <v>1500</v>
      </c>
      <c r="I592" s="16" t="s">
        <v>924</v>
      </c>
    </row>
    <row r="593" spans="1:9" ht="204">
      <c r="A593" s="5" t="s">
        <v>46</v>
      </c>
      <c r="B593" s="6" t="str">
        <f>HYPERLINK("http://thereedfoundation.org/","Reed Foundation")</f>
        <v>Reed Foundation</v>
      </c>
      <c r="C593" s="7" t="s">
        <v>14</v>
      </c>
      <c r="D593" s="6" t="str">
        <f>HYPERLINK("http://thereedfoundation.org/landes/grants.html","Ruth Landes Memorial Research Fund")</f>
        <v>Ruth Landes Memorial Research Fund</v>
      </c>
      <c r="E593" s="22" t="s">
        <v>542</v>
      </c>
      <c r="F593" s="10" t="s">
        <v>947</v>
      </c>
      <c r="G593" s="44"/>
      <c r="H593" s="44" t="s">
        <v>1003</v>
      </c>
      <c r="I593" s="47" t="s">
        <v>1004</v>
      </c>
    </row>
    <row r="594" spans="1:9" ht="255">
      <c r="A594" s="5" t="s">
        <v>46</v>
      </c>
      <c r="B594" s="6" t="str">
        <f>HYPERLINK("http://taths.org.uk/","Tools and Trades History Society")</f>
        <v>Tools and Trades History Society</v>
      </c>
      <c r="C594" s="15" t="s">
        <v>14</v>
      </c>
      <c r="D594" s="23" t="str">
        <f>HYPERLINK("http://taths.org.uk/about/awards-and-grants","Salaman Awards")</f>
        <v>Salaman Awards</v>
      </c>
      <c r="E594" s="9" t="s">
        <v>1005</v>
      </c>
      <c r="F594" s="10" t="s">
        <v>947</v>
      </c>
      <c r="G594" s="12"/>
      <c r="H594" s="19" t="s">
        <v>570</v>
      </c>
      <c r="I594" s="16" t="s">
        <v>1006</v>
      </c>
    </row>
    <row r="595" spans="1:9" ht="153.75">
      <c r="A595" s="22" t="s">
        <v>13</v>
      </c>
      <c r="B595" s="6" t="str">
        <f>HYPERLINK("https://www.bioversityinternational.org/","Biodiversity International")</f>
        <v>Biodiversity International</v>
      </c>
      <c r="C595" s="15" t="s">
        <v>14</v>
      </c>
      <c r="D595" s="6" t="str">
        <f>HYPERLINK("https://www.bioversityinternational.org/about-us/opportunities/fellowships/","Research Fellowship ")</f>
        <v xml:space="preserve">Research Fellowship </v>
      </c>
      <c r="E595" s="9" t="s">
        <v>60</v>
      </c>
      <c r="F595" s="10" t="s">
        <v>947</v>
      </c>
      <c r="G595" s="14"/>
      <c r="H595" s="10"/>
      <c r="I595" s="84" t="s">
        <v>1088</v>
      </c>
    </row>
    <row r="596" spans="1:9" ht="153">
      <c r="A596" s="22" t="s">
        <v>13</v>
      </c>
      <c r="B596" s="6" t="str">
        <f>HYPERLINK("http://cupop.columbia.edu/","Columbia Population Research Center")</f>
        <v>Columbia Population Research Center</v>
      </c>
      <c r="C596" s="7" t="s">
        <v>8</v>
      </c>
      <c r="D596" s="6" t="str">
        <f>HYPERLINK("http://cupop.columbia.edu/services/seed-grant-program","Seed Grant Program")</f>
        <v>Seed Grant Program</v>
      </c>
      <c r="E596" s="9" t="s">
        <v>60</v>
      </c>
      <c r="F596" s="10" t="s">
        <v>947</v>
      </c>
      <c r="G596" s="14"/>
      <c r="H596" s="19" t="s">
        <v>1089</v>
      </c>
      <c r="I596" s="16" t="s">
        <v>1090</v>
      </c>
    </row>
    <row r="597" spans="1:9" ht="102">
      <c r="A597" s="17" t="s">
        <v>46</v>
      </c>
      <c r="B597" s="6" t="str">
        <f>HYPERLINK("http://maxkadefoundation.org/","Max Kade Foundation")</f>
        <v>Max Kade Foundation</v>
      </c>
      <c r="C597" s="7" t="s">
        <v>14</v>
      </c>
      <c r="D597" s="6" t="str">
        <f>HYPERLINK("https://www.sfari.org/grant/explorer-awards-rfa/","SFARI Explorer Award")</f>
        <v>SFARI Explorer Award</v>
      </c>
      <c r="E597" s="22" t="s">
        <v>60</v>
      </c>
      <c r="F597" s="10" t="s">
        <v>947</v>
      </c>
      <c r="G597" s="14"/>
      <c r="H597" s="10" t="s">
        <v>1091</v>
      </c>
      <c r="I597" s="16" t="s">
        <v>1092</v>
      </c>
    </row>
    <row r="598" spans="1:9" ht="191.25">
      <c r="A598" s="5" t="s">
        <v>13</v>
      </c>
      <c r="B598" s="6" t="str">
        <f>HYPERLINK("nsf.gov","National Science Foundation")</f>
        <v>National Science Foundation</v>
      </c>
      <c r="C598" s="7" t="s">
        <v>65</v>
      </c>
      <c r="D598" s="6" t="str">
        <f>HYPERLINK("https://www.nsf.gov/funding/pgm_summ.jsp?pims_id=505250","Electronics, Photonics, and Magnetic Devices")</f>
        <v>Electronics, Photonics, and Magnetic Devices</v>
      </c>
      <c r="E598" s="9" t="s">
        <v>60</v>
      </c>
      <c r="F598" s="10" t="s">
        <v>947</v>
      </c>
      <c r="G598" s="10"/>
      <c r="H598" s="14"/>
      <c r="I598" s="16" t="s">
        <v>1093</v>
      </c>
    </row>
    <row r="599" spans="1:9" ht="229.5">
      <c r="A599" s="17" t="s">
        <v>13</v>
      </c>
      <c r="B599" s="6" t="str">
        <f>HYPERLINK("nsf.gov","National Science Foundation")</f>
        <v>National Science Foundation</v>
      </c>
      <c r="C599" s="7" t="s">
        <v>65</v>
      </c>
      <c r="D599" s="6" t="str">
        <f>HYPERLINK("https://www.nsf.gov/funding/pgm_summ.jsp?pims_id=505249","Energy, Power, Control, and Networks")</f>
        <v>Energy, Power, Control, and Networks</v>
      </c>
      <c r="E599" s="9" t="s">
        <v>60</v>
      </c>
      <c r="F599" s="10" t="s">
        <v>947</v>
      </c>
      <c r="G599" s="14"/>
      <c r="H599" s="14"/>
      <c r="I599" s="16" t="s">
        <v>1094</v>
      </c>
    </row>
    <row r="600" spans="1:9" ht="306">
      <c r="A600" s="5" t="s">
        <v>13</v>
      </c>
      <c r="B600" s="6" t="str">
        <f>HYPERLINK("nsf.gov","National Science Foundation")</f>
        <v>National Science Foundation</v>
      </c>
      <c r="C600" s="7" t="s">
        <v>65</v>
      </c>
      <c r="D600" s="6" t="str">
        <f>HYPERLINK("https://www.nsf.gov/funding/pgm_summ.jsp?pims_id=505248","Communications, Circuits, and Sensing-Systems")</f>
        <v>Communications, Circuits, and Sensing-Systems</v>
      </c>
      <c r="E600" s="9" t="s">
        <v>60</v>
      </c>
      <c r="F600" s="10" t="s">
        <v>947</v>
      </c>
      <c r="G600" s="14"/>
      <c r="H600" s="10"/>
      <c r="I600" s="16" t="s">
        <v>1095</v>
      </c>
    </row>
    <row r="601" spans="1:9" ht="191.25">
      <c r="A601" s="5" t="s">
        <v>13</v>
      </c>
      <c r="B601" s="6" t="str">
        <f>HYPERLINK("nsf.gov","National Science Foundation")</f>
        <v>National Science Foundation</v>
      </c>
      <c r="C601" s="15" t="s">
        <v>65</v>
      </c>
      <c r="D601" s="6" t="str">
        <f>HYPERLINK("https://www.nsf.gov/funding/pgm_summ.jsp?pims_id=504709","Secure and trustworthy Cyberspace")</f>
        <v>Secure and trustworthy Cyberspace</v>
      </c>
      <c r="E601" s="9" t="s">
        <v>60</v>
      </c>
      <c r="F601" s="44" t="s">
        <v>947</v>
      </c>
      <c r="G601" s="10"/>
      <c r="H601" s="44"/>
      <c r="I601" s="16" t="s">
        <v>1096</v>
      </c>
    </row>
    <row r="602" spans="1:9" ht="153">
      <c r="A602" s="22" t="s">
        <v>13</v>
      </c>
      <c r="B602" s="6" t="str">
        <f>HYPERLINK("nsf.gov","National Science Foundation")</f>
        <v>National Science Foundation</v>
      </c>
      <c r="C602" s="15" t="s">
        <v>65</v>
      </c>
      <c r="D602" s="8" t="s">
        <v>1097</v>
      </c>
      <c r="E602" s="9" t="s">
        <v>60</v>
      </c>
      <c r="F602" s="25" t="s">
        <v>947</v>
      </c>
      <c r="G602" s="25"/>
      <c r="H602" s="44"/>
      <c r="I602" s="16" t="s">
        <v>1098</v>
      </c>
    </row>
    <row r="603" spans="1:9" ht="127.5">
      <c r="A603" s="5" t="s">
        <v>46</v>
      </c>
      <c r="B603" s="6" t="str">
        <f>HYPERLINK("https://caves.org/","National Speleological Society")</f>
        <v>National Speleological Society</v>
      </c>
      <c r="C603" s="24" t="s">
        <v>14</v>
      </c>
      <c r="D603" s="6" t="str">
        <f>HYPERLINK("https://caves.org/grants/index.shtml","Research Grants")</f>
        <v>Research Grants</v>
      </c>
      <c r="E603" s="9" t="s">
        <v>76</v>
      </c>
      <c r="F603" s="44" t="s">
        <v>947</v>
      </c>
      <c r="G603" s="10"/>
      <c r="H603" s="44"/>
      <c r="I603" s="16" t="s">
        <v>1109</v>
      </c>
    </row>
    <row r="604" spans="1:9" ht="204">
      <c r="A604" s="17" t="s">
        <v>13</v>
      </c>
      <c r="B604" s="8" t="s">
        <v>1119</v>
      </c>
      <c r="C604" s="7" t="s">
        <v>65</v>
      </c>
      <c r="D604" s="23" t="str">
        <f>HYPERLINK("https://www.nsf.gov/funding/pgm_summ.jsp?pims_id=505549","Environmental Sustainability")</f>
        <v>Environmental Sustainability</v>
      </c>
      <c r="E604" s="9" t="s">
        <v>1120</v>
      </c>
      <c r="F604" s="10" t="s">
        <v>947</v>
      </c>
      <c r="G604" s="10"/>
      <c r="H604" s="14"/>
      <c r="I604" s="16" t="s">
        <v>1121</v>
      </c>
    </row>
    <row r="605" spans="1:9" ht="89.25">
      <c r="A605" s="5" t="s">
        <v>13</v>
      </c>
      <c r="B605" s="8" t="str">
        <f>HYPERLINK("https://www.nsf.gov/","National Science Foundation")</f>
        <v>National Science Foundation</v>
      </c>
      <c r="C605" s="15" t="s">
        <v>65</v>
      </c>
      <c r="D605" s="8" t="s">
        <v>1167</v>
      </c>
      <c r="E605" s="9" t="s">
        <v>101</v>
      </c>
      <c r="F605" s="10" t="s">
        <v>947</v>
      </c>
      <c r="G605" s="14"/>
      <c r="H605" s="10"/>
      <c r="I605" s="16" t="s">
        <v>1168</v>
      </c>
    </row>
    <row r="606" spans="1:9" ht="216.75">
      <c r="A606" s="34" t="s">
        <v>13</v>
      </c>
      <c r="B606" s="32" t="str">
        <f>HYPERLINK("https://www.srf.org/","Smith Richardson Foundation")</f>
        <v>Smith Richardson Foundation</v>
      </c>
      <c r="C606" s="59" t="s">
        <v>14</v>
      </c>
      <c r="D606" s="91" t="str">
        <f>HYPERLINK("https://www.srf.org/apply-now/","Grants")</f>
        <v>Grants</v>
      </c>
      <c r="E606" s="34" t="s">
        <v>323</v>
      </c>
      <c r="F606" s="34" t="s">
        <v>947</v>
      </c>
      <c r="G606" s="31"/>
      <c r="H606" s="36" t="s">
        <v>1189</v>
      </c>
      <c r="I606" s="38" t="s">
        <v>1190</v>
      </c>
    </row>
    <row r="607" spans="1:9" ht="192">
      <c r="A607" s="5" t="s">
        <v>46</v>
      </c>
      <c r="B607" s="6" t="str">
        <f>HYPERLINK("http://www.russellsage.org","Russell Sage Foundation")</f>
        <v>Russell Sage Foundation</v>
      </c>
      <c r="C607" s="15" t="s">
        <v>14</v>
      </c>
      <c r="D607" s="8" t="s">
        <v>1219</v>
      </c>
      <c r="E607" s="9" t="s">
        <v>124</v>
      </c>
      <c r="F607" s="10" t="s">
        <v>947</v>
      </c>
      <c r="G607" s="14"/>
      <c r="H607" s="14"/>
      <c r="I607" s="46" t="s">
        <v>1220</v>
      </c>
    </row>
    <row r="608" spans="1:9" ht="242.25">
      <c r="A608" s="5" t="s">
        <v>13</v>
      </c>
      <c r="B608" s="6" t="str">
        <f>HYPERLINK("https://www.searlefreedomtrust.org","Searle Freedom Trust")</f>
        <v>Searle Freedom Trust</v>
      </c>
      <c r="C608" s="15" t="s">
        <v>14</v>
      </c>
      <c r="D608" s="6" t="str">
        <f>HYPERLINK("https://www.searlefreedomtrust.org/application-guidelines/","Grants in Public Policy")</f>
        <v>Grants in Public Policy</v>
      </c>
      <c r="E608" s="9" t="s">
        <v>124</v>
      </c>
      <c r="F608" s="10" t="s">
        <v>947</v>
      </c>
      <c r="G608" s="14"/>
      <c r="H608" s="14"/>
      <c r="I608" s="16" t="s">
        <v>1221</v>
      </c>
    </row>
    <row r="609" spans="1:9" ht="153">
      <c r="A609" s="5" t="s">
        <v>46</v>
      </c>
      <c r="B609" s="6" t="str">
        <f>HYPERLINK("nsf.gov","National Science Foundation")</f>
        <v>National Science Foundation</v>
      </c>
      <c r="C609" s="7" t="s">
        <v>65</v>
      </c>
      <c r="D609" s="6" t="str">
        <f>HYPERLINK("https://www.nsf.gov/funding/pgm_summ.jsp?pims_id=5319","High-Risk Research in Biological Anthropology and Archeology")</f>
        <v>High-Risk Research in Biological Anthropology and Archeology</v>
      </c>
      <c r="E609" s="9" t="s">
        <v>705</v>
      </c>
      <c r="F609" s="10" t="s">
        <v>980</v>
      </c>
      <c r="G609" s="43"/>
      <c r="H609" s="19">
        <v>25000</v>
      </c>
      <c r="I609" s="16" t="s">
        <v>1233</v>
      </c>
    </row>
    <row r="610" spans="1:9" ht="51">
      <c r="A610" s="5" t="s">
        <v>13</v>
      </c>
      <c r="B610" s="6" t="str">
        <f>HYPERLINK("https://www.baylor.edu/","Baylor University Library")</f>
        <v>Baylor University Library</v>
      </c>
      <c r="C610" s="15" t="s">
        <v>8</v>
      </c>
      <c r="D610" s="8" t="s">
        <v>1238</v>
      </c>
      <c r="E610" s="9" t="s">
        <v>127</v>
      </c>
      <c r="F610" s="10" t="s">
        <v>947</v>
      </c>
      <c r="G610" s="14"/>
      <c r="H610" s="19">
        <v>500</v>
      </c>
      <c r="I610" s="16" t="s">
        <v>1239</v>
      </c>
    </row>
    <row r="611" spans="1:9" ht="76.5">
      <c r="A611" s="71" t="s">
        <v>46</v>
      </c>
      <c r="B611" s="6" t="str">
        <f>HYPERLINK("https://www.sfari.org","Simons Foundation")</f>
        <v>Simons Foundation</v>
      </c>
      <c r="C611" s="15" t="s">
        <v>14</v>
      </c>
      <c r="D611" s="8" t="s">
        <v>1253</v>
      </c>
      <c r="E611" s="9" t="s">
        <v>101</v>
      </c>
      <c r="F611" s="10" t="s">
        <v>1250</v>
      </c>
      <c r="G611" s="10"/>
      <c r="H611" s="44" t="s">
        <v>1254</v>
      </c>
      <c r="I611" s="16" t="s">
        <v>1255</v>
      </c>
    </row>
    <row r="612" spans="1:9" ht="153">
      <c r="A612" s="71" t="s">
        <v>46</v>
      </c>
      <c r="B612" s="6" t="str">
        <f>HYPERLINK("http://beta.global.columbia.edu","Columbia")</f>
        <v>Columbia</v>
      </c>
      <c r="C612" s="15" t="s">
        <v>8</v>
      </c>
      <c r="D612" s="8" t="str">
        <f>HYPERLINK("http://beta.global.columbia.edu/institutes-programs-initiatives/presidents-global-innovation-fund","President's Global Innovation Fund")</f>
        <v>President's Global Innovation Fund</v>
      </c>
      <c r="E612" s="44" t="s">
        <v>10</v>
      </c>
      <c r="F612" s="10" t="s">
        <v>1280</v>
      </c>
      <c r="G612" s="21"/>
      <c r="H612" s="21" t="s">
        <v>1281</v>
      </c>
      <c r="I612" s="92" t="s">
        <v>1282</v>
      </c>
    </row>
    <row r="613" spans="1:9" ht="89.25">
      <c r="A613" s="5" t="s">
        <v>46</v>
      </c>
      <c r="B613" s="6" t="str">
        <f>HYPERLINK("https://oral.history.ufl.edu/","University of Florida Samuel Proctor Oral History Program")</f>
        <v>University of Florida Samuel Proctor Oral History Program</v>
      </c>
      <c r="C613" s="7" t="s">
        <v>8</v>
      </c>
      <c r="D613" s="8" t="s">
        <v>1298</v>
      </c>
      <c r="E613" s="22" t="s">
        <v>15</v>
      </c>
      <c r="F613" s="44" t="s">
        <v>1299</v>
      </c>
      <c r="G613" s="44"/>
      <c r="H613" s="55">
        <v>1000</v>
      </c>
      <c r="I613" s="26" t="s">
        <v>1300</v>
      </c>
    </row>
    <row r="614" spans="1:9" ht="165.75">
      <c r="A614" s="17" t="s">
        <v>46</v>
      </c>
      <c r="B614" s="6" t="str">
        <f>HYPERLINK("http://pulitzercenter.org","Pulitzer Center")</f>
        <v>Pulitzer Center</v>
      </c>
      <c r="C614" s="7" t="s">
        <v>183</v>
      </c>
      <c r="D614" s="8" t="s">
        <v>1301</v>
      </c>
      <c r="E614" s="9" t="s">
        <v>10</v>
      </c>
      <c r="F614" s="14" t="s">
        <v>1299</v>
      </c>
      <c r="G614" s="14"/>
      <c r="H614" s="14" t="s">
        <v>1302</v>
      </c>
      <c r="I614" s="16" t="s">
        <v>1303</v>
      </c>
    </row>
    <row r="615" spans="1:9" ht="76.5">
      <c r="A615" s="5" t="s">
        <v>46</v>
      </c>
      <c r="B615" s="6" t="str">
        <f>HYPERLINK("http://maxkadefoundation.org/grants.html","Max Kade Foundation")</f>
        <v>Max Kade Foundation</v>
      </c>
      <c r="C615" s="7" t="s">
        <v>14</v>
      </c>
      <c r="D615" s="8" t="s">
        <v>151</v>
      </c>
      <c r="E615" s="22" t="s">
        <v>1306</v>
      </c>
      <c r="F615" s="10" t="s">
        <v>1299</v>
      </c>
      <c r="G615" s="44"/>
      <c r="H615" s="44"/>
      <c r="I615" s="47" t="s">
        <v>1307</v>
      </c>
    </row>
    <row r="616" spans="1:9" ht="242.25">
      <c r="A616" s="5" t="s">
        <v>46</v>
      </c>
      <c r="B616" s="6" t="str">
        <f>HYPERLINK("https://theihs.org/","Institute for Humane Studies")</f>
        <v>Institute for Humane Studies</v>
      </c>
      <c r="C616" s="15" t="s">
        <v>14</v>
      </c>
      <c r="D616" s="8" t="s">
        <v>1314</v>
      </c>
      <c r="E616" s="9" t="s">
        <v>10</v>
      </c>
      <c r="F616" s="44" t="s">
        <v>1315</v>
      </c>
      <c r="G616" s="44" t="s">
        <v>50</v>
      </c>
      <c r="H616" s="14"/>
      <c r="I616" s="16" t="s">
        <v>1316</v>
      </c>
    </row>
    <row r="617" spans="1:9" ht="114.75">
      <c r="A617" s="5" t="s">
        <v>46</v>
      </c>
      <c r="B617" s="6" t="str">
        <f>HYPERLINK("https://www.sciencehistory.org/","Science History Institute")</f>
        <v>Science History Institute</v>
      </c>
      <c r="C617" s="7" t="s">
        <v>14</v>
      </c>
      <c r="D617" s="6" t="str">
        <f>HYPERLINK("https://www.sciencehistory.org/fellowships/apply-for-a-fellowship","Library Travel Grants")</f>
        <v>Library Travel Grants</v>
      </c>
      <c r="E617" s="9" t="s">
        <v>60</v>
      </c>
      <c r="F617" s="14" t="s">
        <v>1321</v>
      </c>
      <c r="G617" s="14"/>
      <c r="H617" s="14"/>
      <c r="I617" s="16" t="s">
        <v>1322</v>
      </c>
    </row>
    <row r="618" spans="1:9" ht="127.5">
      <c r="A618" s="5" t="s">
        <v>13</v>
      </c>
      <c r="B618" s="6" t="str">
        <f>HYPERLINK("nsf.gov","National Science Foundation")</f>
        <v>National Science Foundation</v>
      </c>
      <c r="C618" s="7" t="s">
        <v>65</v>
      </c>
      <c r="D618" s="8" t="s">
        <v>1361</v>
      </c>
      <c r="E618" s="9" t="s">
        <v>80</v>
      </c>
      <c r="F618" s="14"/>
      <c r="G618" s="14"/>
      <c r="H618" s="14"/>
      <c r="I618" s="16" t="s">
        <v>1362</v>
      </c>
    </row>
    <row r="619" spans="1:9" ht="102">
      <c r="A619" s="17" t="s">
        <v>1351</v>
      </c>
      <c r="B619" s="6" t="str">
        <f>HYPERLINK("http://www.jfny.org/","Japanese Foundation of New York")</f>
        <v>Japanese Foundation of New York</v>
      </c>
      <c r="C619" s="7" t="s">
        <v>14</v>
      </c>
      <c r="D619" s="8" t="s">
        <v>1352</v>
      </c>
      <c r="E619" s="9" t="s">
        <v>559</v>
      </c>
      <c r="F619" s="14"/>
      <c r="G619" s="14"/>
      <c r="H619" s="44" t="s">
        <v>921</v>
      </c>
      <c r="I619" s="16" t="s">
        <v>1353</v>
      </c>
    </row>
    <row r="620" spans="1:9" ht="63.75">
      <c r="A620" s="5" t="s">
        <v>1351</v>
      </c>
      <c r="B620" s="6" t="str">
        <f>HYPERLINK("http://www.jfny.org/","Japanese Foundation of New York")</f>
        <v>Japanese Foundation of New York</v>
      </c>
      <c r="C620" s="7" t="s">
        <v>14</v>
      </c>
      <c r="D620" s="8" t="s">
        <v>1354</v>
      </c>
      <c r="E620" s="9" t="s">
        <v>559</v>
      </c>
      <c r="F620" s="14"/>
      <c r="G620" s="14"/>
      <c r="H620" s="14" t="s">
        <v>921</v>
      </c>
      <c r="I620" s="16" t="s">
        <v>1355</v>
      </c>
    </row>
    <row r="621" spans="1:9" ht="127.5">
      <c r="A621" s="17" t="s">
        <v>1024</v>
      </c>
      <c r="B621" s="6" t="str">
        <f>HYPERLINK("https://www.osgf.org/\","Oak Spring Garden Foundation")</f>
        <v>Oak Spring Garden Foundation</v>
      </c>
      <c r="C621" s="7" t="s">
        <v>14</v>
      </c>
      <c r="D621" s="6" t="str">
        <f>HYPERLINK("https://static1.squarespace.com/static/57d1b689e6f2e1faa4ced747/t/593897e9e58c62df43a64180/1496881131295/Visit+Us+And+Work+With+Us.pdf","Fellowships/ Library Opportunities")</f>
        <v>Fellowships/ Library Opportunities</v>
      </c>
      <c r="E621" s="9" t="s">
        <v>1025</v>
      </c>
      <c r="F621" s="14" t="s">
        <v>947</v>
      </c>
      <c r="G621" s="14" t="s">
        <v>1026</v>
      </c>
      <c r="H621" s="10" t="s">
        <v>1027</v>
      </c>
      <c r="I621" s="16" t="s">
        <v>1028</v>
      </c>
    </row>
    <row r="622" spans="1:9" ht="89.25">
      <c r="A622" s="34" t="s">
        <v>162</v>
      </c>
      <c r="B622" s="32" t="str">
        <f>HYPERLINK("https://www.hkbu.edu.hk/eng/main/index.jsp","Lam Institute for East-West Studies")</f>
        <v>Lam Institute for East-West Studies</v>
      </c>
      <c r="C622" s="59" t="s">
        <v>8</v>
      </c>
      <c r="D622" s="32" t="str">
        <f>HYPERLINK("http://lewi.hkbu.edu.hk/scholar-in-residence-programme/","Scholar-in-Residence-Programme")</f>
        <v>Scholar-in-Residence-Programme</v>
      </c>
      <c r="E622" s="34" t="s">
        <v>159</v>
      </c>
      <c r="F622" s="36" t="s">
        <v>163</v>
      </c>
      <c r="G622" s="36"/>
      <c r="H622" s="37"/>
      <c r="I622" s="38" t="s">
        <v>164</v>
      </c>
    </row>
    <row r="623" spans="1:9" ht="127.5">
      <c r="A623" s="22" t="s">
        <v>162</v>
      </c>
      <c r="B623" s="6" t="str">
        <f>HYPERLINK("https://www.iasa-web.org/","International Association of Sound and Audiovisual Archives")</f>
        <v>International Association of Sound and Audiovisual Archives</v>
      </c>
      <c r="C623" s="49" t="s">
        <v>183</v>
      </c>
      <c r="D623" s="30" t="str">
        <f>HYPERLINK("https://www.iasa-web.org/research-grant","Research Grants")</f>
        <v>Research Grants</v>
      </c>
      <c r="E623" s="9" t="s">
        <v>58</v>
      </c>
      <c r="F623" s="10" t="s">
        <v>947</v>
      </c>
      <c r="G623" s="10"/>
      <c r="H623" s="44" t="s">
        <v>1022</v>
      </c>
      <c r="I623" s="16" t="s">
        <v>1023</v>
      </c>
    </row>
    <row r="624" spans="1:9" ht="178.5">
      <c r="A624" s="5" t="s">
        <v>162</v>
      </c>
      <c r="B624" s="6" t="str">
        <f>HYPERLINK("nsf.gov","National Science Foundation")</f>
        <v>National Science Foundation</v>
      </c>
      <c r="C624" s="15" t="s">
        <v>65</v>
      </c>
      <c r="D624" s="8" t="s">
        <v>1099</v>
      </c>
      <c r="E624" s="9" t="s">
        <v>60</v>
      </c>
      <c r="F624" s="10" t="s">
        <v>947</v>
      </c>
      <c r="G624" s="12"/>
      <c r="H624" s="44"/>
      <c r="I624" s="16" t="s">
        <v>1100</v>
      </c>
    </row>
    <row r="625" spans="1:9" ht="255">
      <c r="A625" s="71" t="s">
        <v>162</v>
      </c>
      <c r="B625" s="6" t="str">
        <f>HYPERLINK("nsf.gov","National Science Foundation")</f>
        <v>National Science Foundation</v>
      </c>
      <c r="C625" s="15" t="s">
        <v>65</v>
      </c>
      <c r="D625" s="8" t="s">
        <v>1122</v>
      </c>
      <c r="E625" s="9" t="s">
        <v>1120</v>
      </c>
      <c r="F625" s="10" t="s">
        <v>947</v>
      </c>
      <c r="G625" s="12"/>
      <c r="H625" s="10"/>
      <c r="I625" s="16" t="s">
        <v>1123</v>
      </c>
    </row>
    <row r="626" spans="1:9" ht="178.5">
      <c r="A626" s="22" t="s">
        <v>240</v>
      </c>
      <c r="B626" s="6" t="str">
        <f>HYPERLINK("https://clags.org","CLAGS")</f>
        <v>CLAGS</v>
      </c>
      <c r="C626" s="7" t="s">
        <v>14</v>
      </c>
      <c r="D626" s="8" t="s">
        <v>241</v>
      </c>
      <c r="E626" s="9" t="s">
        <v>242</v>
      </c>
      <c r="F626" s="14" t="s">
        <v>163</v>
      </c>
      <c r="G626" s="14"/>
      <c r="H626" s="19">
        <v>7500</v>
      </c>
      <c r="I626" s="16" t="s">
        <v>243</v>
      </c>
    </row>
    <row r="627" spans="1:9" ht="178.5">
      <c r="A627" s="22" t="s">
        <v>240</v>
      </c>
      <c r="B627" s="24" t="s">
        <v>292</v>
      </c>
      <c r="C627" s="15" t="s">
        <v>14</v>
      </c>
      <c r="D627" s="6" t="str">
        <f>HYPERLINK("http://ritaallen.org/apply/","Rita Allen Scholars Program")</f>
        <v>Rita Allen Scholars Program</v>
      </c>
      <c r="E627" s="9" t="s">
        <v>293</v>
      </c>
      <c r="F627" s="22" t="s">
        <v>163</v>
      </c>
      <c r="G627" s="22"/>
      <c r="H627" s="14"/>
      <c r="I627" s="16" t="s">
        <v>294</v>
      </c>
    </row>
    <row r="628" spans="1:9" ht="153">
      <c r="A628" s="17" t="s">
        <v>240</v>
      </c>
      <c r="B628" s="6" t="str">
        <f>HYPERLINK("https://www.kinshipfellows.org/","Kinship Conservation")</f>
        <v>Kinship Conservation</v>
      </c>
      <c r="C628" s="15" t="s">
        <v>14</v>
      </c>
      <c r="D628" s="23" t="str">
        <f>HYPERLINK("https://www.kinshipfellows.org/program/become-a-fellow","Fellows ")</f>
        <v xml:space="preserve">Fellows </v>
      </c>
      <c r="E628" s="9" t="s">
        <v>60</v>
      </c>
      <c r="F628" s="22" t="s">
        <v>350</v>
      </c>
      <c r="G628" s="22" t="s">
        <v>599</v>
      </c>
      <c r="H628" s="14" t="s">
        <v>600</v>
      </c>
      <c r="I628" s="16" t="s">
        <v>601</v>
      </c>
    </row>
    <row r="629" spans="1:9" ht="76.5">
      <c r="A629" s="22" t="s">
        <v>240</v>
      </c>
      <c r="B629" s="6" t="str">
        <f>HYPERLINK("http://www.apa.org/apf/","American Psychological Association")</f>
        <v>American Psychological Association</v>
      </c>
      <c r="C629" s="7" t="s">
        <v>14</v>
      </c>
      <c r="D629" s="8" t="s">
        <v>743</v>
      </c>
      <c r="E629" s="9" t="s">
        <v>105</v>
      </c>
      <c r="F629" s="14" t="s">
        <v>716</v>
      </c>
      <c r="G629" s="14" t="s">
        <v>50</v>
      </c>
      <c r="H629" s="14"/>
      <c r="I629" s="16" t="s">
        <v>744</v>
      </c>
    </row>
    <row r="630" spans="1:9" s="101" customFormat="1" ht="102">
      <c r="A630" s="22" t="s">
        <v>240</v>
      </c>
      <c r="B630" s="6" t="str">
        <f>HYPERLINK("https://www.loc.gov/programs/john-w-kluge-center/about-this-program/","Kluge Center at the Library of Congress")</f>
        <v>Kluge Center at the Library of Congress</v>
      </c>
      <c r="C630" s="24" t="s">
        <v>65</v>
      </c>
      <c r="D630" s="6" t="str">
        <f>HYPERLINK("https://www.loc.gov/programs/john-w-kluge-center/chairs-fellowships/chairs/henry-a-kissinger-program/","Henry A. Kissinger Program in Foreign Policy and International Relations")</f>
        <v>Henry A. Kissinger Program in Foreign Policy and International Relations</v>
      </c>
      <c r="E630" s="22" t="s">
        <v>1332</v>
      </c>
      <c r="F630" s="44"/>
      <c r="G630" s="44"/>
      <c r="H630" s="19" t="s">
        <v>1333</v>
      </c>
      <c r="I630" s="47" t="s">
        <v>1334</v>
      </c>
    </row>
    <row r="631" spans="1:9" ht="38.25">
      <c r="A631" s="22" t="s">
        <v>240</v>
      </c>
      <c r="B631" s="6" t="str">
        <f>HYPERLINK("nsf.gov","National Science Foundation")</f>
        <v>National Science Foundation</v>
      </c>
      <c r="C631" s="7" t="s">
        <v>65</v>
      </c>
      <c r="D631" s="6" t="str">
        <f>HYPERLINK("https://www.nsf.gov/funding/pgm_summ.jsp?pims_id=5383&amp;org=OISE&amp;sel_org=OISE&amp;from=fund","ADVANCE: Increasing the Participation and Advancement of Women in Academic Science and Engineering Careers ")</f>
        <v xml:space="preserve">ADVANCE: Increasing the Participation and Advancement of Women in Academic Science and Engineering Careers </v>
      </c>
      <c r="E631" s="9" t="s">
        <v>60</v>
      </c>
      <c r="F631" s="44"/>
      <c r="G631" s="44"/>
      <c r="H631" s="44"/>
      <c r="I631" s="16" t="s">
        <v>1360</v>
      </c>
    </row>
    <row r="632" spans="1:9" ht="165.75">
      <c r="A632" s="34" t="s">
        <v>182</v>
      </c>
      <c r="B632" s="32" t="str">
        <f>HYPERLINK("http://www.italianmodernart.org/","Center for Italian Modern Art")</f>
        <v>Center for Italian Modern Art</v>
      </c>
      <c r="C632" s="59" t="s">
        <v>183</v>
      </c>
      <c r="D632" s="32" t="str">
        <f>HYPERLINK("http://www.italianmodernart.org/fellowship-program/","Fellowship Program")</f>
        <v>Fellowship Program</v>
      </c>
      <c r="E632" s="34" t="s">
        <v>177</v>
      </c>
      <c r="F632" s="36" t="s">
        <v>163</v>
      </c>
      <c r="G632" s="36"/>
      <c r="H632" s="37"/>
      <c r="I632" s="38" t="s">
        <v>184</v>
      </c>
    </row>
    <row r="633" spans="1:9" ht="127.5">
      <c r="A633" s="34" t="s">
        <v>182</v>
      </c>
      <c r="B633" s="32" t="str">
        <f>HYPERLINK("http://www.asia-europe.uni-heidelberg.de/en/hcts.html","Heidelberg Center for Transcultural Studies")</f>
        <v>Heidelberg Center for Transcultural Studies</v>
      </c>
      <c r="C633" s="59" t="s">
        <v>8</v>
      </c>
      <c r="D633" s="32" t="str">
        <f>HYPERLINK("http://www.asia-europe.uni-heidelberg.de/en/hcts.html","Fellowships")</f>
        <v>Fellowships</v>
      </c>
      <c r="E633" s="34" t="s">
        <v>206</v>
      </c>
      <c r="F633" s="36" t="s">
        <v>163</v>
      </c>
      <c r="G633" s="36"/>
      <c r="H633" s="37"/>
      <c r="I633" s="38" t="s">
        <v>209</v>
      </c>
    </row>
    <row r="634" spans="1:9" ht="153">
      <c r="A634" s="34" t="s">
        <v>182</v>
      </c>
      <c r="B634" s="32" t="str">
        <f>HYPERLINK("http://www.nus.edu.sg/","National University Singapore")</f>
        <v>National University Singapore</v>
      </c>
      <c r="C634" s="59" t="s">
        <v>8</v>
      </c>
      <c r="D634" s="32" t="str">
        <f>HYPERLINK("http://www.fas.nus.edu.sg/visit/vss.html","Isaac Manasseh Meyer Fellowship")</f>
        <v>Isaac Manasseh Meyer Fellowship</v>
      </c>
      <c r="E634" s="34" t="s">
        <v>206</v>
      </c>
      <c r="F634" s="36" t="s">
        <v>163</v>
      </c>
      <c r="G634" s="36"/>
      <c r="H634" s="37"/>
      <c r="I634" s="38" t="s">
        <v>210</v>
      </c>
    </row>
    <row r="635" spans="1:9" ht="140.25">
      <c r="A635" s="34" t="s">
        <v>182</v>
      </c>
      <c r="B635" s="32" t="str">
        <f>HYPERLINK("https://www.banffcentre.ca/","Banff Center")</f>
        <v>Banff Center</v>
      </c>
      <c r="C635" s="59" t="s">
        <v>217</v>
      </c>
      <c r="D635" s="32" t="str">
        <f>HYPERLINK("https://www.banffcentre.ca/","International Literary Translation Centre")</f>
        <v>International Literary Translation Centre</v>
      </c>
      <c r="E635" s="34" t="s">
        <v>218</v>
      </c>
      <c r="F635" s="36" t="s">
        <v>163</v>
      </c>
      <c r="G635" s="36" t="s">
        <v>219</v>
      </c>
      <c r="H635" s="37"/>
      <c r="I635" s="38" t="s">
        <v>220</v>
      </c>
    </row>
    <row r="636" spans="1:9" ht="216.75">
      <c r="A636" s="34" t="s">
        <v>182</v>
      </c>
      <c r="B636" s="32" t="str">
        <f>HYPERLINK("https://georgianpapers-test.wm.edu/","King's College London Georgian Papers Programme")</f>
        <v>King's College London Georgian Papers Programme</v>
      </c>
      <c r="C636" s="59" t="s">
        <v>8</v>
      </c>
      <c r="D636" s="32" t="str">
        <f>HYPERLINK("https://georgianpapersprogramme.com/fellowships/kings-college-london/","Royal Archives Fellowships")</f>
        <v>Royal Archives Fellowships</v>
      </c>
      <c r="E636" s="34" t="s">
        <v>159</v>
      </c>
      <c r="F636" s="36" t="s">
        <v>720</v>
      </c>
      <c r="G636" s="36"/>
      <c r="H636" s="37"/>
      <c r="I636" s="38" t="s">
        <v>722</v>
      </c>
    </row>
    <row r="637" spans="1:9" ht="114.75">
      <c r="A637" s="34" t="s">
        <v>182</v>
      </c>
      <c r="B637" s="32" t="str">
        <f>HYPERLINK("http://www.oscars.org/","Academy of Motion Picture Arts and Science")</f>
        <v>Academy of Motion Picture Arts and Science</v>
      </c>
      <c r="C637" s="59" t="s">
        <v>14</v>
      </c>
      <c r="D637" s="32" t="str">
        <f>HYPERLINK("http://www.oscars.org/education-grants/academy-film-scholars","Film Scholars Program")</f>
        <v>Film Scholars Program</v>
      </c>
      <c r="E637" s="34" t="s">
        <v>723</v>
      </c>
      <c r="F637" s="36" t="s">
        <v>720</v>
      </c>
      <c r="G637" s="36" t="s">
        <v>724</v>
      </c>
      <c r="H637" s="37">
        <v>25000</v>
      </c>
      <c r="I637" s="38" t="s">
        <v>725</v>
      </c>
    </row>
    <row r="638" spans="1:9" ht="76.5">
      <c r="A638" s="22" t="s">
        <v>182</v>
      </c>
      <c r="B638" s="6" t="str">
        <f>HYPERLINK("http://aabbfoundation.org/","Arch and Bruce Brown Foundation")</f>
        <v>Arch and Bruce Brown Foundation</v>
      </c>
      <c r="C638" s="15" t="s">
        <v>14</v>
      </c>
      <c r="D638" s="23" t="str">
        <f>HYPERLINK("http://aabbfoundation.org/grant-guidelines","Production Grants")</f>
        <v>Production Grants</v>
      </c>
      <c r="E638" s="9" t="s">
        <v>49</v>
      </c>
      <c r="F638" s="22" t="s">
        <v>833</v>
      </c>
      <c r="G638" s="14"/>
      <c r="H638" s="44" t="s">
        <v>866</v>
      </c>
      <c r="I638" s="16" t="s">
        <v>867</v>
      </c>
    </row>
    <row r="639" spans="1:9" ht="63.75">
      <c r="A639" s="22" t="s">
        <v>283</v>
      </c>
      <c r="B639" s="6" t="str">
        <f>HYPERLINK("http://www.aiys.org/","American Institute for Yemeni Studies")</f>
        <v>American Institute for Yemeni Studies</v>
      </c>
      <c r="C639" s="7" t="s">
        <v>8</v>
      </c>
      <c r="D639" s="23" t="str">
        <f>HYPERLINK("http://www.aiys.org/fellowships.html","Fellowships for Study and Research in Yemen")</f>
        <v>Fellowships for Study and Research in Yemen</v>
      </c>
      <c r="E639" s="22" t="s">
        <v>284</v>
      </c>
      <c r="F639" s="10" t="s">
        <v>157</v>
      </c>
      <c r="G639" s="44" t="s">
        <v>285</v>
      </c>
      <c r="H639" s="19">
        <v>6000</v>
      </c>
      <c r="I639" s="40" t="s">
        <v>286</v>
      </c>
    </row>
    <row r="640" spans="1:9" ht="114.75">
      <c r="A640" s="34" t="s">
        <v>165</v>
      </c>
      <c r="B640" s="32" t="str">
        <f>HYPERLINK("https://www.sas.ac.uk/","Univeristy of London, School of Advanced Study")</f>
        <v>Univeristy of London, School of Advanced Study</v>
      </c>
      <c r="C640" s="59" t="s">
        <v>8</v>
      </c>
      <c r="D640" s="32" t="str">
        <f>HYPERLINK("https://www.sas.ac.uk/support-research/fellowships","Institute/Consortium Fellowships")</f>
        <v>Institute/Consortium Fellowships</v>
      </c>
      <c r="E640" s="34" t="s">
        <v>159</v>
      </c>
      <c r="F640" s="36" t="s">
        <v>157</v>
      </c>
      <c r="G640" s="36"/>
      <c r="H640" s="37"/>
      <c r="I640" s="38" t="s">
        <v>166</v>
      </c>
    </row>
    <row r="641" spans="1:9">
      <c r="A641" s="5"/>
      <c r="B641" s="15"/>
      <c r="C641" s="15"/>
      <c r="D641" s="24"/>
      <c r="E641" s="9"/>
      <c r="F641" s="10"/>
      <c r="G641" s="10"/>
      <c r="H641" s="19"/>
      <c r="I641" s="40"/>
    </row>
  </sheetData>
  <autoFilter ref="A1:I641">
    <sortState ref="A2:M641">
      <sortCondition ref="A1:A641"/>
    </sortState>
  </autoFilter>
  <hyperlinks>
    <hyperlink ref="D196" r:id="rId1"/>
    <hyperlink ref="D109" r:id="rId2"/>
    <hyperlink ref="D110" r:id="rId3"/>
    <hyperlink ref="D111" r:id="rId4"/>
    <hyperlink ref="D391" r:id="rId5"/>
    <hyperlink ref="D455" r:id="rId6"/>
    <hyperlink ref="D251" r:id="rId7"/>
    <hyperlink ref="D315" r:id="rId8"/>
    <hyperlink ref="D444" r:id="rId9"/>
    <hyperlink ref="D570" r:id="rId10"/>
    <hyperlink ref="D139" r:id="rId11"/>
    <hyperlink ref="D255" r:id="rId12"/>
    <hyperlink ref="D129" r:id="rId13"/>
    <hyperlink ref="D80" r:id="rId14"/>
    <hyperlink ref="D167" r:id="rId15"/>
    <hyperlink ref="D169" r:id="rId16"/>
    <hyperlink ref="D431" r:id="rId17"/>
    <hyperlink ref="D143" r:id="rId18"/>
    <hyperlink ref="D439" r:id="rId19"/>
    <hyperlink ref="D252" r:id="rId20" location="/research-outreach/faculty-engagement/faculty-research-awards"/>
    <hyperlink ref="D21" r:id="rId21"/>
    <hyperlink ref="D120" r:id="rId22"/>
    <hyperlink ref="D121" r:id="rId23"/>
    <hyperlink ref="D138" r:id="rId24"/>
    <hyperlink ref="D183" r:id="rId25"/>
    <hyperlink ref="D336" r:id="rId26"/>
    <hyperlink ref="D432" r:id="rId27"/>
    <hyperlink ref="D433" r:id="rId28"/>
    <hyperlink ref="D440" r:id="rId29"/>
    <hyperlink ref="D452" r:id="rId30"/>
    <hyperlink ref="B122" r:id="rId31"/>
    <hyperlink ref="D122" r:id="rId32"/>
    <hyperlink ref="D24" r:id="rId33"/>
    <hyperlink ref="D11" r:id="rId34"/>
    <hyperlink ref="D573" r:id="rId35"/>
    <hyperlink ref="D60" r:id="rId36"/>
    <hyperlink ref="D486" r:id="rId37"/>
    <hyperlink ref="D626" r:id="rId38" location="robertgiard"/>
    <hyperlink ref="D54" r:id="rId39"/>
    <hyperlink ref="D154" r:id="rId40" location="faq-distinguished-fellows"/>
    <hyperlink ref="D234" r:id="rId41"/>
    <hyperlink ref="D283" r:id="rId42"/>
    <hyperlink ref="D339" r:id="rId43"/>
    <hyperlink ref="D340" r:id="rId44"/>
    <hyperlink ref="D392" r:id="rId45"/>
    <hyperlink ref="D89" r:id="rId46"/>
    <hyperlink ref="D290" r:id="rId47"/>
    <hyperlink ref="D441" r:id="rId48"/>
    <hyperlink ref="D72" r:id="rId49"/>
    <hyperlink ref="D374" r:id="rId50"/>
    <hyperlink ref="D421" r:id="rId51"/>
    <hyperlink ref="D47" r:id="rId52"/>
    <hyperlink ref="D294" r:id="rId53"/>
    <hyperlink ref="D528" r:id="rId54"/>
    <hyperlink ref="D4" r:id="rId55"/>
    <hyperlink ref="D65" r:id="rId56"/>
    <hyperlink ref="D402" r:id="rId57"/>
    <hyperlink ref="D415" r:id="rId58"/>
    <hyperlink ref="D422" r:id="rId59"/>
    <hyperlink ref="D29" r:id="rId60"/>
    <hyperlink ref="D498" r:id="rId61"/>
    <hyperlink ref="D123" r:id="rId62"/>
    <hyperlink ref="D124" r:id="rId63"/>
    <hyperlink ref="D188" r:id="rId64"/>
    <hyperlink ref="D280" r:id="rId65"/>
    <hyperlink ref="D346" r:id="rId66"/>
    <hyperlink ref="D416" r:id="rId67"/>
    <hyperlink ref="D434" r:id="rId68"/>
    <hyperlink ref="D453" r:id="rId69"/>
    <hyperlink ref="D465" r:id="rId70"/>
    <hyperlink ref="D82" r:id="rId71"/>
    <hyperlink ref="D487" r:id="rId72"/>
    <hyperlink ref="D217" r:id="rId73"/>
    <hyperlink ref="D351" r:id="rId74"/>
    <hyperlink ref="D100" r:id="rId75"/>
    <hyperlink ref="D281" r:id="rId76"/>
    <hyperlink ref="D303" r:id="rId77"/>
    <hyperlink ref="D380" r:id="rId78"/>
    <hyperlink ref="D395" r:id="rId79"/>
    <hyperlink ref="D468" r:id="rId80"/>
    <hyperlink ref="D579" r:id="rId81"/>
    <hyperlink ref="D208" r:id="rId82"/>
    <hyperlink ref="D530" r:id="rId83"/>
    <hyperlink ref="D461" r:id="rId84"/>
    <hyperlink ref="B19" r:id="rId85"/>
    <hyperlink ref="D326" r:id="rId86"/>
    <hyperlink ref="D449" r:id="rId87"/>
    <hyperlink ref="D470" r:id="rId88"/>
    <hyperlink ref="D131" r:id="rId89"/>
    <hyperlink ref="D451" r:id="rId90"/>
    <hyperlink ref="B218" r:id="rId91"/>
    <hyperlink ref="D148" r:id="rId92"/>
    <hyperlink ref="D262" r:id="rId93"/>
    <hyperlink ref="D327" r:id="rId94"/>
    <hyperlink ref="D376" r:id="rId95"/>
    <hyperlink ref="D87" r:id="rId96"/>
    <hyperlink ref="D50" r:id="rId97"/>
    <hyperlink ref="D425" r:id="rId98"/>
    <hyperlink ref="D471" r:id="rId99"/>
    <hyperlink ref="D101" r:id="rId100"/>
    <hyperlink ref="D518" r:id="rId101"/>
    <hyperlink ref="D225" r:id="rId102"/>
    <hyperlink ref="D355" r:id="rId103"/>
    <hyperlink ref="D119" r:id="rId104"/>
    <hyperlink ref="D264" r:id="rId105"/>
    <hyperlink ref="D126" r:id="rId106"/>
    <hyperlink ref="D172" r:id="rId107"/>
    <hyperlink ref="D206" r:id="rId108"/>
    <hyperlink ref="D356" r:id="rId109"/>
    <hyperlink ref="D151" r:id="rId110"/>
    <hyperlink ref="D382" r:id="rId111"/>
    <hyperlink ref="D254" r:id="rId112"/>
    <hyperlink ref="D629" r:id="rId113"/>
    <hyperlink ref="D502" r:id="rId114"/>
    <hyperlink ref="D184" r:id="rId115"/>
    <hyperlink ref="D484" r:id="rId116"/>
    <hyperlink ref="D42" r:id="rId117"/>
    <hyperlink ref="D235" r:id="rId118"/>
    <hyperlink ref="D236" r:id="rId119"/>
    <hyperlink ref="D408" r:id="rId120"/>
    <hyperlink ref="D75" r:id="rId121"/>
    <hyperlink ref="D57" r:id="rId122"/>
    <hyperlink ref="D58" r:id="rId123"/>
    <hyperlink ref="D358" r:id="rId124"/>
    <hyperlink ref="D517" r:id="rId125"/>
    <hyperlink ref="D33" r:id="rId126"/>
    <hyperlink ref="D6" r:id="rId127"/>
    <hyperlink ref="D70" r:id="rId128"/>
    <hyperlink ref="D426" r:id="rId129"/>
    <hyperlink ref="D520" r:id="rId130"/>
    <hyperlink ref="D128" r:id="rId131"/>
    <hyperlink ref="B201" r:id="rId132"/>
    <hyperlink ref="D201" r:id="rId133"/>
    <hyperlink ref="D268" r:id="rId134"/>
    <hyperlink ref="D115" r:id="rId135" location="grants_for_artist_projects"/>
    <hyperlink ref="D435" r:id="rId136"/>
    <hyperlink ref="D233" r:id="rId137"/>
    <hyperlink ref="D585" r:id="rId138"/>
    <hyperlink ref="D74" r:id="rId139"/>
    <hyperlink ref="D359" r:id="rId140"/>
    <hyperlink ref="D586" r:id="rId141"/>
    <hyperlink ref="D202" r:id="rId142"/>
    <hyperlink ref="D554" r:id="rId143"/>
    <hyperlink ref="D472" r:id="rId144"/>
    <hyperlink ref="D589" r:id="rId145"/>
    <hyperlink ref="D492" r:id="rId146"/>
    <hyperlink ref="D328" r:id="rId147"/>
    <hyperlink ref="D134" r:id="rId148"/>
    <hyperlink ref="D511" r:id="rId149"/>
    <hyperlink ref="D142" r:id="rId150"/>
    <hyperlink ref="D226" r:id="rId151"/>
    <hyperlink ref="D286" r:id="rId152"/>
    <hyperlink ref="D156" r:id="rId153"/>
    <hyperlink ref="D174" r:id="rId154"/>
    <hyperlink ref="D291" r:id="rId155"/>
    <hyperlink ref="D383" r:id="rId156"/>
    <hyperlink ref="D67" r:id="rId157"/>
    <hyperlink ref="D175" r:id="rId158"/>
    <hyperlink ref="D302" r:id="rId159"/>
    <hyperlink ref="D365" r:id="rId160"/>
    <hyperlink ref="D457" r:id="rId161"/>
    <hyperlink ref="D10" r:id="rId162"/>
    <hyperlink ref="D436" r:id="rId163"/>
    <hyperlink ref="D521" r:id="rId164"/>
    <hyperlink ref="D221" r:id="rId165"/>
    <hyperlink ref="D7" r:id="rId166"/>
    <hyperlink ref="D14" r:id="rId167"/>
    <hyperlink ref="D510" r:id="rId168"/>
    <hyperlink ref="D524" r:id="rId169"/>
    <hyperlink ref="B34" r:id="rId170"/>
    <hyperlink ref="D34" r:id="rId171"/>
    <hyperlink ref="D68" r:id="rId172"/>
    <hyperlink ref="D118" r:id="rId173"/>
    <hyperlink ref="D164" r:id="rId174"/>
    <hyperlink ref="D222" r:id="rId175" location="apply"/>
    <hyperlink ref="D318" r:id="rId176"/>
    <hyperlink ref="D366" r:id="rId177"/>
    <hyperlink ref="D384" r:id="rId178"/>
    <hyperlink ref="D512" r:id="rId179"/>
    <hyperlink ref="D522" r:id="rId180"/>
    <hyperlink ref="D532" r:id="rId181"/>
    <hyperlink ref="D602" r:id="rId182"/>
    <hyperlink ref="D624" r:id="rId183"/>
    <hyperlink ref="D312" r:id="rId184"/>
    <hyperlink ref="D485" r:id="rId185"/>
    <hyperlink ref="B604" r:id="rId186"/>
    <hyperlink ref="D625" r:id="rId187"/>
    <hyperlink ref="D304" r:id="rId188"/>
    <hyperlink ref="D503" r:id="rId189"/>
    <hyperlink ref="D278" r:id="rId190"/>
    <hyperlink ref="D319" r:id="rId191"/>
    <hyperlink ref="D320" r:id="rId192"/>
    <hyperlink ref="D330" r:id="rId193"/>
    <hyperlink ref="D605" r:id="rId194"/>
    <hyperlink ref="D132" r:id="rId195"/>
    <hyperlink ref="D140" r:id="rId196"/>
    <hyperlink ref="D166" r:id="rId197"/>
    <hyperlink ref="D387" r:id="rId198"/>
    <hyperlink ref="D456" r:id="rId199"/>
    <hyperlink ref="D177" r:id="rId200"/>
    <hyperlink ref="D192" r:id="rId201"/>
    <hyperlink ref="D475" r:id="rId202"/>
    <hyperlink ref="D476" r:id="rId203"/>
    <hyperlink ref="D481" r:id="rId204"/>
    <hyperlink ref="D482" r:id="rId205"/>
    <hyperlink ref="D505" r:id="rId206"/>
    <hyperlink ref="D509" r:id="rId207"/>
    <hyperlink ref="D515" r:id="rId208"/>
    <hyperlink ref="D607" r:id="rId209"/>
    <hyperlink ref="D117" r:id="rId210"/>
    <hyperlink ref="D186" r:id="rId211"/>
    <hyperlink ref="D534" r:id="rId212"/>
    <hyperlink ref="D610" r:id="rId213"/>
    <hyperlink ref="D187" r:id="rId214"/>
    <hyperlink ref="D85" r:id="rId215"/>
    <hyperlink ref="D611" r:id="rId216"/>
    <hyperlink ref="D59" r:id="rId217"/>
    <hyperlink ref="D613" r:id="rId218"/>
    <hyperlink ref="D614" r:id="rId219"/>
    <hyperlink ref="D523" r:id="rId220"/>
    <hyperlink ref="D615" r:id="rId221"/>
    <hyperlink ref="D616" r:id="rId222"/>
    <hyperlink ref="D322" r:id="rId223"/>
    <hyperlink ref="D397" r:id="rId224"/>
    <hyperlink ref="D223" r:id="rId225"/>
    <hyperlink ref="D90" r:id="rId226"/>
    <hyperlink ref="D137" r:id="rId227"/>
    <hyperlink ref="D159" r:id="rId228"/>
    <hyperlink ref="D331" r:id="rId229"/>
    <hyperlink ref="D105" r:id="rId230"/>
    <hyperlink ref="D133" r:id="rId231"/>
    <hyperlink ref="D398" r:id="rId232"/>
    <hyperlink ref="D619" r:id="rId233"/>
    <hyperlink ref="D620" r:id="rId234"/>
    <hyperlink ref="D618" r:id="rId235"/>
    <hyperlink ref="B333" r:id="rId236"/>
    <hyperlink ref="B334" r:id="rId237"/>
    <hyperlink ref="D334" r:id="rId238"/>
    <hyperlink ref="D36" r:id="rId239"/>
  </hyperlinks>
  <printOptions horizontalCentered="1" gridLines="1"/>
  <pageMargins left="0.7" right="0.7" top="0.75" bottom="0.75" header="0" footer="0"/>
  <pageSetup fitToHeight="0" pageOrder="overThenDown" orientation="landscape" cellComments="atEnd" r:id="rId2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2018-10-30T17:47:52Z</dcterms:modified>
</cp:coreProperties>
</file>